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4\digital\Сайт\посадочные страницы\AVENTOS top\медиафайлы_aventos_top\"/>
    </mc:Choice>
  </mc:AlternateContent>
  <xr:revisionPtr revIDLastSave="0" documentId="8_{F934B5AB-850C-4972-B92B-6BE76D26A292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Содержание" sheetId="19" r:id="rId1"/>
    <sheet name="HF top" sheetId="34" r:id="rId2"/>
    <sheet name="HS top" sheetId="35" r:id="rId3"/>
    <sheet name="HL top" sheetId="36" r:id="rId4"/>
    <sheet name="HK top" sheetId="30" r:id="rId5"/>
    <sheet name="HK-S" sheetId="10" r:id="rId6"/>
    <sheet name="HK-XS" sheetId="12" r:id="rId7"/>
    <sheet name="TIP-ON BLUMOTION LEGRABOX" sheetId="14" r:id="rId8"/>
    <sheet name="TIP-ON BUMOTION MOVENTO" sheetId="15" r:id="rId9"/>
    <sheet name="TIP-ON BLUMOTION TANDEMBOX" sheetId="23" r:id="rId10"/>
    <sheet name="TANDEMBOX боковые вставки" sheetId="16" r:id="rId11"/>
    <sheet name="Раскрой дна и з.с для TANDEMBOX" sheetId="26" r:id="rId12"/>
    <sheet name="Раскрой дна и з.с. для LEGRABOX" sheetId="27" r:id="rId13"/>
    <sheet name="Раскрой валов синхронизации" sheetId="33" r:id="rId14"/>
  </sheets>
  <definedNames>
    <definedName name="Z_A25B6F15_9B48_4230_9C30_183637D1319E_.wvu.Cols" localSheetId="1" hidden="1">'HF top'!#REF!</definedName>
    <definedName name="Z_A25B6F15_9B48_4230_9C30_183637D1319E_.wvu.Cols" localSheetId="7" hidden="1">'TIP-ON BLUMOTION LEGRABOX'!$AO:$BE</definedName>
    <definedName name="Z_A25B6F15_9B48_4230_9C30_183637D1319E_.wvu.Cols" localSheetId="9" hidden="1">'TIP-ON BLUMOTION TANDEMBOX'!$AO:$BE</definedName>
    <definedName name="Z_A25B6F15_9B48_4230_9C30_183637D1319E_.wvu.Cols" localSheetId="8" hidden="1">'TIP-ON BUMOTION MOVENTO'!$AP:$AZ</definedName>
    <definedName name="Z_A25B6F15_9B48_4230_9C30_183637D1319E_.wvu.Rows" localSheetId="1" hidden="1">'HF top'!$2:$2</definedName>
    <definedName name="Z_A25B6F15_9B48_4230_9C30_183637D1319E_.wvu.Rows" localSheetId="5" hidden="1">'HK-S'!$4:$4</definedName>
    <definedName name="Z_A25B6F15_9B48_4230_9C30_183637D1319E_.wvu.Rows" localSheetId="7" hidden="1">'TIP-ON BLUMOTION LEGRABOX'!$29:$29</definedName>
    <definedName name="Z_A25B6F15_9B48_4230_9C30_183637D1319E_.wvu.Rows" localSheetId="9" hidden="1">'TIP-ON BLUMOTION TANDEMBOX'!$29:$29</definedName>
    <definedName name="внутр" localSheetId="9">'TIP-ON BLUMOTION TANDEMBOX'!$AO$3,'TIP-ON BLUMOTION TANDEMBOX'!$AO$5</definedName>
    <definedName name="внутр">'TIP-ON BLUMOTION LEGRABOX'!$AO$3,'TIP-ON BLUMOTION LEGRABOX'!$AO$5</definedName>
    <definedName name="Номинальная_длина__NL__мм" localSheetId="1">#REF!</definedName>
    <definedName name="Номинальная_длина__NL__мм" localSheetId="4">#REF!</definedName>
    <definedName name="Номинальная_длина__NL__мм" localSheetId="2">#REF!</definedName>
    <definedName name="Номинальная_длина__NL__мм" localSheetId="11">#REF!</definedName>
    <definedName name="Номинальная_длина__NL__мм">#REF!</definedName>
    <definedName name="_xlnm.Print_Area" localSheetId="13">'Раскрой валов синхронизации'!$A$2:$E$7</definedName>
    <definedName name="_xlnm.Print_Area" localSheetId="0">Содержание!$A$1:$Y$24</definedName>
  </definedNames>
  <calcPr calcId="181029"/>
  <customWorkbookViews>
    <customWorkbookView name="user - Личное представление" guid="{A25B6F15-9B48-4230-9C30-183637D1319E}" mergeInterval="0" personalView="1" maximized="1" xWindow="18" yWindow="88" windowWidth="628" windowHeight="398" tabRatio="921" activeSheetId="15"/>
  </customWorkbookViews>
  <fileRecoveryPr autoRecover="0"/>
</workbook>
</file>

<file path=xl/calcChain.xml><?xml version="1.0" encoding="utf-8"?>
<calcChain xmlns="http://schemas.openxmlformats.org/spreadsheetml/2006/main">
  <c r="L41" i="34" l="1"/>
  <c r="L48" i="34"/>
  <c r="H11" i="36"/>
  <c r="H12" i="36"/>
  <c r="H13" i="36"/>
  <c r="H14" i="36"/>
  <c r="H15" i="36"/>
  <c r="H10" i="36" l="1"/>
  <c r="F15" i="36"/>
  <c r="G15" i="36" s="1"/>
  <c r="F14" i="36"/>
  <c r="G14" i="36" s="1"/>
  <c r="F13" i="36"/>
  <c r="G13" i="36" s="1"/>
  <c r="F12" i="36"/>
  <c r="G12" i="36" s="1"/>
  <c r="F11" i="36"/>
  <c r="G11" i="36" s="1"/>
  <c r="F10" i="36"/>
  <c r="F9" i="35"/>
  <c r="G9" i="35" s="1"/>
  <c r="F8" i="35"/>
  <c r="G8" i="35" s="1"/>
  <c r="F7" i="35"/>
  <c r="G7" i="35" s="1"/>
  <c r="F6" i="35"/>
  <c r="G6" i="35" s="1"/>
  <c r="F5" i="35"/>
  <c r="G5" i="35" s="1"/>
  <c r="F4" i="35"/>
  <c r="G4" i="35" s="1"/>
  <c r="L60" i="34"/>
  <c r="L57" i="34"/>
  <c r="L56" i="34"/>
  <c r="L55" i="34"/>
  <c r="E56" i="34" s="1"/>
  <c r="E32" i="34"/>
  <c r="K18" i="34"/>
  <c r="K19" i="34"/>
  <c r="K20" i="34"/>
  <c r="K21" i="34"/>
  <c r="K22" i="34"/>
  <c r="K23" i="34"/>
  <c r="K24" i="34"/>
  <c r="K17" i="34"/>
  <c r="K16" i="34"/>
  <c r="G10" i="36" l="1"/>
  <c r="H16" i="34"/>
  <c r="I16" i="34" s="1"/>
  <c r="J16" i="34" s="1"/>
  <c r="H24" i="34"/>
  <c r="H23" i="34"/>
  <c r="I23" i="34" s="1"/>
  <c r="J23" i="34" s="1"/>
  <c r="H22" i="34"/>
  <c r="I22" i="34" s="1"/>
  <c r="J22" i="34" s="1"/>
  <c r="H21" i="34"/>
  <c r="I21" i="34" s="1"/>
  <c r="J21" i="34" s="1"/>
  <c r="H20" i="34"/>
  <c r="I20" i="34" s="1"/>
  <c r="J20" i="34" s="1"/>
  <c r="H19" i="34"/>
  <c r="I19" i="34" s="1"/>
  <c r="J19" i="34" s="1"/>
  <c r="H18" i="34"/>
  <c r="I18" i="34" s="1"/>
  <c r="J18" i="34" s="1"/>
  <c r="H17" i="34"/>
  <c r="I17" i="34" s="1"/>
  <c r="J17" i="34" s="1"/>
  <c r="E10" i="33"/>
  <c r="D10" i="33"/>
  <c r="F10" i="33"/>
  <c r="G3" i="26"/>
  <c r="G4" i="26"/>
  <c r="G5" i="26"/>
  <c r="G6" i="26"/>
  <c r="G7" i="26"/>
  <c r="G2" i="26"/>
  <c r="B92" i="16"/>
  <c r="B49" i="16"/>
  <c r="B48" i="16"/>
  <c r="I44" i="16"/>
  <c r="H44" i="16"/>
  <c r="G44" i="16"/>
  <c r="F44" i="16"/>
  <c r="E44" i="16"/>
  <c r="D44" i="16"/>
  <c r="C44" i="16"/>
  <c r="B44" i="16"/>
  <c r="I43" i="16"/>
  <c r="H43" i="16"/>
  <c r="G43" i="16"/>
  <c r="F43" i="16"/>
  <c r="E43" i="16"/>
  <c r="D43" i="16"/>
  <c r="C43" i="16"/>
  <c r="B43" i="16"/>
  <c r="I42" i="16"/>
  <c r="H42" i="16"/>
  <c r="G42" i="16"/>
  <c r="F42" i="16"/>
  <c r="E42" i="16"/>
  <c r="D42" i="16"/>
  <c r="C42" i="16"/>
  <c r="B42" i="16"/>
  <c r="I41" i="16"/>
  <c r="H41" i="16"/>
  <c r="G41" i="16"/>
  <c r="F41" i="16"/>
  <c r="E41" i="16"/>
  <c r="D41" i="16"/>
  <c r="C41" i="16"/>
  <c r="B41" i="16"/>
  <c r="I40" i="16"/>
  <c r="H40" i="16"/>
  <c r="G40" i="16"/>
  <c r="F40" i="16"/>
  <c r="E40" i="16"/>
  <c r="D40" i="16"/>
  <c r="C40" i="16"/>
  <c r="B40" i="16"/>
  <c r="I39" i="16"/>
  <c r="H39" i="16"/>
  <c r="G39" i="16"/>
  <c r="F39" i="16"/>
  <c r="E39" i="16"/>
  <c r="D39" i="16"/>
  <c r="C39" i="16"/>
  <c r="B39" i="16"/>
  <c r="G38" i="16"/>
  <c r="F38" i="16"/>
  <c r="E38" i="16"/>
  <c r="D38" i="16"/>
  <c r="C38" i="16"/>
  <c r="B38" i="16"/>
  <c r="G37" i="16"/>
  <c r="F37" i="16"/>
  <c r="E37" i="16"/>
  <c r="D37" i="16"/>
  <c r="C37" i="16"/>
  <c r="B37" i="16"/>
  <c r="G36" i="16"/>
  <c r="F36" i="16"/>
  <c r="E36" i="16"/>
  <c r="D36" i="16"/>
  <c r="C36" i="16"/>
  <c r="B36" i="16"/>
  <c r="D6" i="33"/>
  <c r="F6" i="33" s="1"/>
  <c r="D9" i="33"/>
  <c r="F9" i="33" s="1"/>
  <c r="D8" i="33"/>
  <c r="F8" i="33" s="1"/>
  <c r="D7" i="33"/>
  <c r="F7" i="33" s="1"/>
  <c r="D5" i="33"/>
  <c r="F5" i="33" s="1"/>
  <c r="D4" i="33"/>
  <c r="E4" i="33" s="1"/>
  <c r="E9" i="33" l="1"/>
  <c r="F4" i="33"/>
  <c r="E8" i="33"/>
  <c r="I24" i="34"/>
  <c r="J24" i="34" s="1"/>
  <c r="E6" i="33"/>
  <c r="E7" i="33"/>
  <c r="E5" i="33"/>
  <c r="W26" i="12" l="1"/>
  <c r="AM21" i="12"/>
  <c r="W24" i="12" s="1"/>
  <c r="AH22" i="12" l="1"/>
  <c r="AH21" i="12"/>
  <c r="N26" i="12" l="1"/>
  <c r="F15" i="30"/>
  <c r="G15" i="30" s="1"/>
  <c r="H15" i="30" s="1"/>
  <c r="F14" i="30"/>
  <c r="G14" i="30" s="1"/>
  <c r="H14" i="30" s="1"/>
  <c r="F13" i="30"/>
  <c r="G13" i="30" s="1"/>
  <c r="H13" i="30" s="1"/>
  <c r="F12" i="30"/>
  <c r="G12" i="30" s="1"/>
  <c r="H12" i="30" s="1"/>
  <c r="F11" i="30"/>
  <c r="G11" i="30" s="1"/>
  <c r="H11" i="30" s="1"/>
  <c r="F10" i="30"/>
  <c r="G10" i="30" s="1"/>
  <c r="H10" i="30" s="1"/>
  <c r="H13" i="12" l="1"/>
  <c r="H12" i="12"/>
  <c r="F11" i="10"/>
  <c r="F10" i="10"/>
  <c r="I12" i="12" l="1"/>
  <c r="P12" i="12" s="1"/>
  <c r="F12" i="10"/>
  <c r="F14" i="10"/>
  <c r="F13" i="10"/>
  <c r="F15" i="10"/>
  <c r="J3" i="27" l="1"/>
  <c r="J4" i="27"/>
  <c r="J5" i="27"/>
  <c r="J6" i="27"/>
  <c r="I3" i="27"/>
  <c r="I4" i="27"/>
  <c r="I5" i="27"/>
  <c r="I6" i="27"/>
  <c r="H3" i="27"/>
  <c r="H4" i="27"/>
  <c r="H5" i="27"/>
  <c r="H6" i="27"/>
  <c r="J2" i="27"/>
  <c r="H2" i="27"/>
  <c r="I2" i="27"/>
  <c r="E3" i="26"/>
  <c r="F3" i="26"/>
  <c r="H3" i="26"/>
  <c r="E4" i="26"/>
  <c r="F4" i="26"/>
  <c r="H4" i="26"/>
  <c r="E5" i="26"/>
  <c r="F5" i="26"/>
  <c r="H5" i="26"/>
  <c r="E6" i="26"/>
  <c r="F6" i="26"/>
  <c r="H6" i="26"/>
  <c r="I3" i="26"/>
  <c r="I4" i="26"/>
  <c r="I5" i="26"/>
  <c r="I6" i="26"/>
  <c r="I7" i="26"/>
  <c r="H7" i="26"/>
  <c r="I2" i="26"/>
  <c r="H2" i="26"/>
  <c r="E2" i="26"/>
  <c r="F2" i="26"/>
  <c r="E7" i="26"/>
  <c r="F7" i="26"/>
  <c r="G6" i="27" l="1"/>
  <c r="F6" i="27"/>
  <c r="E6" i="27"/>
  <c r="G5" i="27"/>
  <c r="F5" i="27"/>
  <c r="E5" i="27"/>
  <c r="G4" i="27"/>
  <c r="F4" i="27"/>
  <c r="E4" i="27"/>
  <c r="G3" i="27"/>
  <c r="F3" i="27"/>
  <c r="E3" i="27"/>
  <c r="G2" i="27"/>
  <c r="F2" i="27"/>
  <c r="E2" i="27"/>
  <c r="H17" i="12" l="1"/>
  <c r="H16" i="12"/>
  <c r="H15" i="12"/>
  <c r="H14" i="12"/>
  <c r="Y20" i="23" l="1"/>
  <c r="AE30" i="23" l="1"/>
  <c r="AF30" i="23" s="1"/>
  <c r="S20" i="23"/>
  <c r="BE9" i="23"/>
  <c r="AV5" i="23" s="1"/>
  <c r="BC9" i="23"/>
  <c r="AW3" i="23" s="1"/>
  <c r="AY3" i="23" s="1"/>
  <c r="BB9" i="23"/>
  <c r="BE8" i="23"/>
  <c r="BD8" i="23"/>
  <c r="BC8" i="23"/>
  <c r="BB8" i="23"/>
  <c r="BE7" i="23"/>
  <c r="BD7" i="23"/>
  <c r="BC7" i="23"/>
  <c r="BB7" i="23"/>
  <c r="BE6" i="23"/>
  <c r="BD6" i="23"/>
  <c r="AX6" i="23"/>
  <c r="AW6" i="23"/>
  <c r="AV6" i="23"/>
  <c r="BE5" i="23"/>
  <c r="BD5" i="23"/>
  <c r="AW5" i="23"/>
  <c r="BE4" i="23"/>
  <c r="BD4" i="23"/>
  <c r="AW4" i="23"/>
  <c r="BE3" i="23"/>
  <c r="BD3" i="23"/>
  <c r="BE2" i="23"/>
  <c r="BD2" i="23"/>
  <c r="AY5" i="23" l="1"/>
  <c r="AY6" i="23"/>
  <c r="BD9" i="23"/>
  <c r="AV4" i="23" s="1"/>
  <c r="AY4" i="23" s="1"/>
  <c r="AY7" i="23" l="1"/>
  <c r="M20" i="23" s="1"/>
  <c r="AE20" i="23" s="1"/>
  <c r="L28" i="23" s="1"/>
  <c r="G15" i="10"/>
  <c r="H15" i="10" s="1"/>
  <c r="I17" i="12"/>
  <c r="P17" i="12" s="1"/>
  <c r="AZ2" i="23" l="1"/>
  <c r="J17" i="12"/>
  <c r="H9" i="16" l="1"/>
  <c r="F9" i="16"/>
  <c r="G8" i="16"/>
  <c r="AV3" i="15"/>
  <c r="AW3" i="15"/>
  <c r="AX3" i="15"/>
  <c r="AV4" i="15"/>
  <c r="AW4" i="15"/>
  <c r="AX4" i="15"/>
  <c r="AV5" i="15"/>
  <c r="AW5" i="15"/>
  <c r="AX5" i="15"/>
  <c r="AV6" i="15"/>
  <c r="AW6" i="15"/>
  <c r="AX6" i="15"/>
  <c r="AV7" i="15"/>
  <c r="AW7" i="15"/>
  <c r="AX7" i="15"/>
  <c r="AV8" i="15"/>
  <c r="AW8" i="15"/>
  <c r="AX8" i="15"/>
  <c r="G16" i="15"/>
  <c r="H16" i="15"/>
  <c r="I16" i="15"/>
  <c r="H17" i="15"/>
  <c r="E18" i="15"/>
  <c r="S20" i="15"/>
  <c r="Y20" i="15"/>
  <c r="H23" i="15"/>
  <c r="F24" i="15"/>
  <c r="AE31" i="15"/>
  <c r="AF31" i="15" s="1"/>
  <c r="BD2" i="14"/>
  <c r="BE2" i="14"/>
  <c r="BD3" i="14"/>
  <c r="BE3" i="14"/>
  <c r="AW4" i="14"/>
  <c r="BD4" i="14"/>
  <c r="BE4" i="14"/>
  <c r="AW5" i="14"/>
  <c r="BD5" i="14"/>
  <c r="BD9" i="14" s="1"/>
  <c r="AV4" i="14" s="1"/>
  <c r="AY4" i="14" s="1"/>
  <c r="BE5" i="14"/>
  <c r="AV6" i="14"/>
  <c r="AW6" i="14"/>
  <c r="AX6" i="14"/>
  <c r="BD6" i="14"/>
  <c r="BE6" i="14"/>
  <c r="BB7" i="14"/>
  <c r="BC7" i="14"/>
  <c r="BD7" i="14"/>
  <c r="BE7" i="14"/>
  <c r="BB8" i="14"/>
  <c r="BC8" i="14"/>
  <c r="BD8" i="14"/>
  <c r="BE8" i="14"/>
  <c r="BB9" i="14"/>
  <c r="BC9" i="14"/>
  <c r="AW3" i="14" s="1"/>
  <c r="AY3" i="14" s="1"/>
  <c r="BE9" i="14"/>
  <c r="AV5" i="14" s="1"/>
  <c r="S20" i="14"/>
  <c r="Y20" i="14"/>
  <c r="AE30" i="14"/>
  <c r="AF30" i="14" s="1"/>
  <c r="AY8" i="15" l="1"/>
  <c r="AY6" i="14"/>
  <c r="AY5" i="14"/>
  <c r="AY7" i="14" s="1"/>
  <c r="M20" i="14" s="1"/>
  <c r="AE20" i="14" s="1"/>
  <c r="AY4" i="15"/>
  <c r="AY5" i="15"/>
  <c r="AY6" i="15"/>
  <c r="AY7" i="15"/>
  <c r="AY3" i="15"/>
  <c r="AY9" i="15" l="1"/>
  <c r="M20" i="15" s="1"/>
  <c r="AE20" i="15" s="1"/>
  <c r="AZ2" i="15" s="1"/>
  <c r="AZ2" i="14"/>
  <c r="L28" i="14"/>
  <c r="L29" i="15" l="1"/>
  <c r="I15" i="12" l="1"/>
  <c r="P15" i="12" s="1"/>
  <c r="I14" i="12"/>
  <c r="P14" i="12" s="1"/>
  <c r="I13" i="12"/>
  <c r="P13" i="12" s="1"/>
  <c r="G11" i="10"/>
  <c r="H11" i="10" s="1"/>
  <c r="G10" i="10"/>
  <c r="H10" i="10" s="1"/>
  <c r="I16" i="12"/>
  <c r="P16" i="12" s="1"/>
  <c r="G14" i="10"/>
  <c r="H14" i="10" s="1"/>
  <c r="D7" i="16"/>
  <c r="E7" i="16"/>
  <c r="F7" i="16"/>
  <c r="G7" i="16"/>
  <c r="D8" i="16"/>
  <c r="E8" i="16"/>
  <c r="F8" i="16"/>
  <c r="D9" i="16"/>
  <c r="E9" i="16"/>
  <c r="G9" i="16"/>
  <c r="D10" i="16"/>
  <c r="E10" i="16"/>
  <c r="F10" i="16"/>
  <c r="G10" i="16"/>
  <c r="D11" i="16"/>
  <c r="E11" i="16"/>
  <c r="F11" i="16"/>
  <c r="G11" i="16"/>
  <c r="D12" i="16"/>
  <c r="E12" i="16"/>
  <c r="F12" i="16"/>
  <c r="G12" i="16"/>
  <c r="D13" i="16"/>
  <c r="E13" i="16"/>
  <c r="F13" i="16"/>
  <c r="G13" i="16"/>
  <c r="D14" i="16"/>
  <c r="E14" i="16"/>
  <c r="F14" i="16"/>
  <c r="G14" i="16"/>
  <c r="G6" i="16"/>
  <c r="F6" i="16"/>
  <c r="E6" i="16"/>
  <c r="D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C6" i="16"/>
  <c r="B6" i="16"/>
  <c r="B19" i="16"/>
  <c r="B18" i="16"/>
  <c r="I14" i="16"/>
  <c r="H14" i="16"/>
  <c r="I13" i="16"/>
  <c r="H13" i="16"/>
  <c r="I12" i="16"/>
  <c r="H12" i="16"/>
  <c r="I11" i="16"/>
  <c r="H11" i="16"/>
  <c r="I10" i="16"/>
  <c r="H10" i="16"/>
  <c r="I9" i="16"/>
  <c r="G13" i="10"/>
  <c r="H13" i="10" s="1"/>
  <c r="G12" i="10"/>
  <c r="H12" i="10" s="1"/>
  <c r="J15" i="12" l="1"/>
  <c r="J13" i="12"/>
  <c r="J16" i="12"/>
  <c r="J14" i="12"/>
  <c r="J1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мм</t>
        </r>
      </text>
    </comment>
    <comment ref="D9" authorId="0" shapeId="0" xr:uid="{00000000-0006-0000-0A00-000002000000}">
      <text>
        <r>
          <rPr>
            <b/>
            <sz val="9"/>
            <color indexed="81"/>
            <rFont val="Tahoma"/>
            <family val="2"/>
            <charset val="204"/>
          </rPr>
          <t>мм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2" authorId="0" shapeId="0" xr:uid="{00000000-0006-0000-0B00-000001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3" authorId="0" shapeId="0" xr:uid="{00000000-0006-0000-0B00-000002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</t>
        </r>
        <r>
          <rPr>
            <b/>
            <sz val="9"/>
            <color indexed="81"/>
            <rFont val="Tahoma"/>
            <family val="2"/>
            <charset val="204"/>
          </rPr>
          <t>.</t>
        </r>
      </text>
    </comment>
    <comment ref="F14" authorId="0" shapeId="0" xr:uid="{00000000-0006-0000-0B00-000003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5" authorId="0" shapeId="0" xr:uid="{00000000-0006-0000-0B00-000004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6" authorId="0" shapeId="0" xr:uid="{00000000-0006-0000-0B00-000005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7" authorId="0" shapeId="0" xr:uid="{00000000-0006-0000-0B00-000006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4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22" authorId="0" shapeId="0" xr:uid="{00000000-0006-0000-0F00-000002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23" authorId="0" shapeId="0" xr:uid="{00000000-0006-0000-0F00-000003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24" authorId="0" shapeId="0" xr:uid="{00000000-0006-0000-0F00-000004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A44" authorId="0" shapeId="0" xr:uid="{00000000-0006-0000-0F00-000005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52" authorId="0" shapeId="0" xr:uid="{00000000-0006-0000-0F00-000006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A88" authorId="0" shapeId="0" xr:uid="{00000000-0006-0000-0F00-000007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95" authorId="0" shapeId="0" xr:uid="{00000000-0006-0000-0F00-000008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  <comment ref="C1" authorId="0" shapeId="0" xr:uid="{00000000-0006-0000-1000-000002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" authorId="0" shapeId="0" xr:uid="{00000000-0006-0000-1100-000001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  <comment ref="C1" authorId="0" shapeId="0" xr:uid="{00000000-0006-0000-1100-000002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  <comment ref="G1" authorId="0" shapeId="0" xr:uid="{00000000-0006-0000-1100-000003000000}">
      <text>
        <r>
          <rPr>
            <b/>
            <sz val="9"/>
            <color indexed="81"/>
            <rFont val="Tahoma"/>
            <family val="2"/>
            <charset val="204"/>
          </rPr>
          <t>фрезеровка по краям с двух сторон на глубину 8 мм и ширину 38 мм</t>
        </r>
      </text>
    </comment>
  </commentList>
</comments>
</file>

<file path=xl/sharedStrings.xml><?xml version="1.0" encoding="utf-8"?>
<sst xmlns="http://schemas.openxmlformats.org/spreadsheetml/2006/main" count="967" uniqueCount="523">
  <si>
    <t>Ответная планка CLIP, прямая</t>
  </si>
  <si>
    <t>Петля Clip Top 120* без пружины</t>
  </si>
  <si>
    <t>70T5550.TL</t>
  </si>
  <si>
    <t>Средняя петля Clip Top</t>
  </si>
  <si>
    <t>78Z5500T</t>
  </si>
  <si>
    <t>Петля Clip Top 120* для алюминиевой рамки</t>
  </si>
  <si>
    <t>72T550A</t>
  </si>
  <si>
    <t>78Z550AT</t>
  </si>
  <si>
    <t>Держатель CLIP левый</t>
  </si>
  <si>
    <t>175H5B00</t>
  </si>
  <si>
    <t>Держатель CLIP правый</t>
  </si>
  <si>
    <t>Держатель CLIP симетричный</t>
  </si>
  <si>
    <t>175H5A00</t>
  </si>
  <si>
    <t>Артикул</t>
  </si>
  <si>
    <t>Ширина</t>
  </si>
  <si>
    <t>Высота</t>
  </si>
  <si>
    <t>От</t>
  </si>
  <si>
    <t>До</t>
  </si>
  <si>
    <t>Мощность</t>
  </si>
  <si>
    <t>Телескопический рычаг XX, для h=XXX</t>
  </si>
  <si>
    <t>Вес, кг</t>
  </si>
  <si>
    <t>РАЗНЫЕ ФАСАДЫ:</t>
  </si>
  <si>
    <t>20S4201</t>
  </si>
  <si>
    <t>от</t>
  </si>
  <si>
    <t>до</t>
  </si>
  <si>
    <t>Рычаг</t>
  </si>
  <si>
    <t>20S4201A</t>
  </si>
  <si>
    <t>20K4A01A</t>
  </si>
  <si>
    <t>Высота корпуса</t>
  </si>
  <si>
    <t>мм</t>
  </si>
  <si>
    <t>Если верхний фасад - алюминиевая рамка шириной менее 55 мм (Z4 др.) - то вместо 2 прямых выписываются 2 крестообразные ответные планки (Clip 173L6100)</t>
  </si>
  <si>
    <t>Для фасадов из ДСП, МДФ, Массива и широких алюминиевых рамок</t>
  </si>
  <si>
    <t>Для узких алюминиевых рамок (Z1)</t>
  </si>
  <si>
    <t>Средняя петля CLIP TOP для алюминиевой рамки</t>
  </si>
  <si>
    <t>верхний МДФ/нижний Z1</t>
  </si>
  <si>
    <t>верхний Z1/нижний МДФ</t>
  </si>
  <si>
    <t>Фасад Z1</t>
  </si>
  <si>
    <t>Фасад Z4</t>
  </si>
  <si>
    <t>Крепление фасада для массива</t>
  </si>
  <si>
    <t>-</t>
  </si>
  <si>
    <t>для Z1</t>
  </si>
  <si>
    <t>Диапозон мощности</t>
  </si>
  <si>
    <t>Наименование</t>
  </si>
  <si>
    <t>20K8001 - L</t>
  </si>
  <si>
    <t>20K8001 - R</t>
  </si>
  <si>
    <t>Белая</t>
  </si>
  <si>
    <t>опция</t>
  </si>
  <si>
    <t>955.1008S</t>
  </si>
  <si>
    <t>для TipON</t>
  </si>
  <si>
    <t xml:space="preserve">Фасад Z1 </t>
  </si>
  <si>
    <t xml:space="preserve">Фасад Z4 </t>
  </si>
  <si>
    <t>Высота фасада</t>
  </si>
  <si>
    <r>
      <t>20K2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</t>
    </r>
  </si>
  <si>
    <t>Для толщины ДСП, мм</t>
  </si>
  <si>
    <t>Ширина корпуса (KB),мм</t>
  </si>
  <si>
    <t>Необходимая длина поперечного релинга(1094), мм</t>
  </si>
  <si>
    <t>Необходимая длина передней панели(1081), мм</t>
  </si>
  <si>
    <t>Необходимая длина поперечного разделителя(1077), мм</t>
  </si>
  <si>
    <t>Необходимая длина поперечного разделителя c OrgaLine для бутылок, мм</t>
  </si>
  <si>
    <t>Необходимая длина передней панели(1036), мм</t>
  </si>
  <si>
    <t>Необходимая длина поперечного релинга(1046), мм</t>
  </si>
  <si>
    <t>Вставки из стекла</t>
  </si>
  <si>
    <t>Боковая (2шт)</t>
  </si>
  <si>
    <t>Передняя (1шт)</t>
  </si>
  <si>
    <t>Длина,мм</t>
  </si>
  <si>
    <t>Толщина,мм</t>
  </si>
  <si>
    <t>Номинальная длина (NL),мм</t>
  </si>
  <si>
    <t>Высота,мм</t>
  </si>
  <si>
    <t>Толщина материала корпуса, мм</t>
  </si>
  <si>
    <t>Необходимая длина поперечного разделителя - релинг (1104), мм</t>
  </si>
  <si>
    <t>Боковая для Antaro D (2шт)</t>
  </si>
  <si>
    <t>Боковая для Antaro C (2шт)</t>
  </si>
  <si>
    <t>59.5</t>
  </si>
  <si>
    <t>91.5</t>
  </si>
  <si>
    <t>Вставки из стекла/мдф</t>
  </si>
  <si>
    <t>Боковая для TandemBox D (2шт)</t>
  </si>
  <si>
    <r>
      <t>20K2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01T</t>
    </r>
  </si>
  <si>
    <t>175H3100</t>
  </si>
  <si>
    <t>ВЕС, кг</t>
  </si>
  <si>
    <t xml:space="preserve">Фасад   Z1 </t>
  </si>
  <si>
    <t xml:space="preserve">Фасад   Z4 </t>
  </si>
  <si>
    <t>1 шт</t>
  </si>
  <si>
    <t>20K1101T</t>
  </si>
  <si>
    <t>2 шт</t>
  </si>
  <si>
    <t xml:space="preserve">20K1301 </t>
  </si>
  <si>
    <t>20K1501</t>
  </si>
  <si>
    <t>20K1501T</t>
  </si>
  <si>
    <t>ВЫПИСКА:</t>
  </si>
  <si>
    <t>1) Силовой механизм - 1 или 2 шт (выбор по коэффициенту мощности)</t>
  </si>
  <si>
    <t xml:space="preserve">20K1101 </t>
  </si>
  <si>
    <t>20K1301T</t>
  </si>
  <si>
    <t>2) Крепление к корпусу (на саморезы) - 1 или 2 шт (от количества силовых механизмов)</t>
  </si>
  <si>
    <t>20K5101</t>
  </si>
  <si>
    <t>3) Крепление фасада -  1 или 2 шт (от количества силовых механизмов)</t>
  </si>
  <si>
    <t xml:space="preserve">3.1) Крепление фасада для массивов </t>
  </si>
  <si>
    <t>20K4A01</t>
  </si>
  <si>
    <t>3.2) Крепление фасада для Z1 (узкие рамки)</t>
  </si>
  <si>
    <r>
      <rPr>
        <i/>
        <sz val="12"/>
        <rFont val="Arial"/>
        <family val="2"/>
        <charset val="204"/>
      </rPr>
      <t xml:space="preserve">4)  Петля - 2 шт </t>
    </r>
    <r>
      <rPr>
        <i/>
        <sz val="10"/>
        <rFont val="Arial"/>
        <family val="2"/>
        <charset val="204"/>
      </rPr>
      <t>(3 шт при ширине корпуса от 900 мм или при коэффициенте мощности от 1800, 4 петли при ширине корпуса 1200 мм или при коэффициенте мощности от 2700)</t>
    </r>
  </si>
  <si>
    <t>4.1) накладная CLIP top BLUMOTION 110°</t>
  </si>
  <si>
    <t>71B3550</t>
  </si>
  <si>
    <r>
      <rPr>
        <i/>
        <sz val="12"/>
        <rFont val="Arial"/>
        <family val="2"/>
        <charset val="204"/>
      </rPr>
      <t xml:space="preserve">4)  Петля - 2 шт </t>
    </r>
    <r>
      <rPr>
        <i/>
        <sz val="10"/>
        <rFont val="Arial"/>
        <family val="2"/>
        <charset val="204"/>
      </rPr>
      <t>(3 петли - при ширине корпуса от 900 мм или при коэффициенте мощности от 1800, 4 петли - при ширине корпуса 1200 мм или при коэффициенте мощности от 2700)</t>
    </r>
  </si>
  <si>
    <t>4.1) накладная CLIP top BLUMOTION 110° (без пружины)</t>
  </si>
  <si>
    <t>70T3550.TL</t>
  </si>
  <si>
    <t>4.2) накладная CLIP top BLUMOTION для aлюминиeвыx рaмoк 95°</t>
  </si>
  <si>
    <t>71B950A</t>
  </si>
  <si>
    <t>4.2) накладная CLIP top BLUMOTION для aлюминиeвыx рaмoк 95° (без пружины)</t>
  </si>
  <si>
    <t>70T950A.TL</t>
  </si>
  <si>
    <t>5)  Ответная планка CLIP, прямая - 2 шт (3-4 шт, в зависимости от количества петель)</t>
  </si>
  <si>
    <t>5)  Ответная планка CLIP, прямая - 2 шт (3-4 шт, в зависимости от количества петель))</t>
  </si>
  <si>
    <t>955.1002 / 955А1002</t>
  </si>
  <si>
    <t>7) Планка с шурупом -1 шт</t>
  </si>
  <si>
    <t>8) Держатель TIP-ON, прямой или крестообразный (на выбор) - 1 шт</t>
  </si>
  <si>
    <t>955.1201 / 955.1501</t>
  </si>
  <si>
    <t>ВЕС</t>
  </si>
  <si>
    <t>кг</t>
  </si>
  <si>
    <t>20K2A01</t>
  </si>
  <si>
    <t>от 0,5 до 1,25</t>
  </si>
  <si>
    <t>от 1,0 до 2,5</t>
  </si>
  <si>
    <t>от 1,7 до 3,8</t>
  </si>
  <si>
    <t>от 2,4 до 5,0</t>
  </si>
  <si>
    <t xml:space="preserve">Cиловой механизм Aventos HK-S "A" </t>
  </si>
  <si>
    <t>Фасады массив (ольха)</t>
  </si>
  <si>
    <t>Фасады МДФ+МДФ (витрины)</t>
  </si>
  <si>
    <t xml:space="preserve">Силовой механизм AVENTOS </t>
  </si>
  <si>
    <t>Силовой механизм AVENTOS</t>
  </si>
  <si>
    <t>Материал фасада</t>
  </si>
  <si>
    <t>Фасады Z1 + Z1</t>
  </si>
  <si>
    <t>Фасады Z4 + Z4</t>
  </si>
  <si>
    <t>Фасады МДФ + Z1</t>
  </si>
  <si>
    <t>Фасады ДСП + Z1</t>
  </si>
  <si>
    <t>Тип AVENTOS</t>
  </si>
  <si>
    <t>Тип телескопического рычага</t>
  </si>
  <si>
    <t>Тип рычага</t>
  </si>
  <si>
    <t>Кол-во сил.мех.</t>
  </si>
  <si>
    <t>Необходимый тип AVENTOS HF</t>
  </si>
  <si>
    <t>Необходимый тип AVENTOS HK</t>
  </si>
  <si>
    <t>Необходимый тип AVENTOS HK-S</t>
  </si>
  <si>
    <t>20K2C01 / 20K2C01T</t>
  </si>
  <si>
    <t>20K2E01 / 20K2E01T</t>
  </si>
  <si>
    <t>Артикул:                                                        BLUMOTION/ TIP-ON</t>
  </si>
  <si>
    <t>Артикул:                                                            BLUMOTION/ TIP-ON</t>
  </si>
  <si>
    <t>Диапозон мощности:</t>
  </si>
  <si>
    <t>Силовой механизм AVENTOS HK-XS 20K1501</t>
  </si>
  <si>
    <t>Силовой механизм AVENTOS HK-XS 20K1301</t>
  </si>
  <si>
    <t>Силовой механизм AVENTOS HK-XS 20K1101</t>
  </si>
  <si>
    <t xml:space="preserve">СИЛОВЫЕ МЕХАНИЗМЫ AVENTOS HK-XS (под TIP-ON): </t>
  </si>
  <si>
    <t>Силовой механизм AVENTOS HK-XS 20K1101T</t>
  </si>
  <si>
    <t>Силовой механизм AVENTOS HK-XS 20K1301T</t>
  </si>
  <si>
    <t>Силовой механизм AVENTOS HK-XS 20K1501T</t>
  </si>
  <si>
    <t xml:space="preserve">СИЛОВЫЕ МЕХАНИЗМЫ AVENTOS HK-XS (под BLUMOTION): </t>
  </si>
  <si>
    <t>Необходимый тип AVENTOS HK-XS под BLUMOTION</t>
  </si>
  <si>
    <t>Необходимый тип AVENTOS HK-XS под TIP-ON</t>
  </si>
  <si>
    <t>Базовый комплект под BLUMOTION</t>
  </si>
  <si>
    <t>Диапазон мощности</t>
  </si>
  <si>
    <t>Кол-во</t>
  </si>
  <si>
    <t>Тип механизма Aventos HS</t>
  </si>
  <si>
    <t>Напротив ячейки с материалом Вашего фасада введите его высоту (от 350 до 800 мм) и ширину (до 1800 мм).</t>
  </si>
  <si>
    <t>Напротив ячейки с материалом Вашего фасада введите его высоту (от 300 до 580 мм) и ширину (до 1800 мм).</t>
  </si>
  <si>
    <t>Напротив ячейки с материалом Вашего фасада введите его высоту (от 205 до 600 мм) и ширину (до 1800 мм).</t>
  </si>
  <si>
    <t>956.1002</t>
  </si>
  <si>
    <t>956A1002</t>
  </si>
  <si>
    <t>Выписка Aventos HK-S</t>
  </si>
  <si>
    <r>
      <t>1. Силовой механизм HK-S "</t>
    </r>
    <r>
      <rPr>
        <b/>
        <sz val="12"/>
        <color indexed="8"/>
        <rFont val="Arial"/>
        <family val="2"/>
        <charset val="204"/>
      </rPr>
      <t>X</t>
    </r>
    <r>
      <rPr>
        <sz val="10"/>
        <color indexed="8"/>
        <rFont val="Arial"/>
        <family val="2"/>
        <charset val="204"/>
      </rPr>
      <t>"</t>
    </r>
  </si>
  <si>
    <t>2. Заглушка основная (Серая), левая</t>
  </si>
  <si>
    <t>3. Заглушка основная (Серая), правая</t>
  </si>
  <si>
    <t>4. Крепление фасада для массива(New)</t>
  </si>
  <si>
    <r>
      <t xml:space="preserve">6.б) TipON усиленный </t>
    </r>
    <r>
      <rPr>
        <sz val="10"/>
        <color rgb="FFFF0000"/>
        <rFont val="Arial"/>
        <family val="2"/>
        <charset val="204"/>
      </rPr>
      <t>(фасад высотой выше 500 мм)</t>
    </r>
  </si>
  <si>
    <t>7. Магнитная планка (под шуруп)</t>
  </si>
  <si>
    <r>
      <t>6.а) TipON стандартный</t>
    </r>
    <r>
      <rPr>
        <sz val="10"/>
        <color rgb="FFFF0000"/>
        <rFont val="Arial"/>
        <family val="2"/>
        <charset val="204"/>
      </rPr>
      <t xml:space="preserve"> (фасад высотой до 500 мм)</t>
    </r>
  </si>
  <si>
    <t>6) TIP-ON стандартный (фасад высотой до 500 мм) или усиленный (фасад высотой выше 500 мм), на выбор - 1 шт</t>
  </si>
  <si>
    <t>Напротив ячейки с материалом Вашего фасада введите его высоту (от 150 до 600 мм) и ширину (до 900 мм).</t>
  </si>
  <si>
    <t>Напротив ячейки с материалом Вашего фасада введите его высоту (от 240 до 600 мм) и ширину.</t>
  </si>
  <si>
    <t>Фасад массив (ольха)</t>
  </si>
  <si>
    <t>4. Круглый вал синхронизации TIP-ON BLUMOTION под раскрой, длина=1125 мм (T60.1125W) - 1 шт.</t>
  </si>
  <si>
    <t>3. Шестерни вала синхронизации TIP-ON BLUMOTION (T60.000D) - 2 шт.</t>
  </si>
  <si>
    <t>2. (2a)-Механизм TIP-ON BLUMOTION и (2b)-триггер TIP-ON BLUMOTION в комплекте - 1 к-т</t>
  </si>
  <si>
    <t>1. Направляющие TIP-ON BLUMOTION для LEGRABOX, левая / правая (к-т) - 1 к-т</t>
  </si>
  <si>
    <t xml:space="preserve">Одного вала синхронизации хватит на </t>
  </si>
  <si>
    <t>L5</t>
  </si>
  <si>
    <t>Максимальный вес планируемого наполнения, кг</t>
  </si>
  <si>
    <t>L3</t>
  </si>
  <si>
    <r>
      <t>Используемые значения при расчете плотности материалов:  ДСП -- 680 кг/м</t>
    </r>
    <r>
      <rPr>
        <sz val="9"/>
        <color rgb="FFFF0000"/>
        <rFont val="Calibri"/>
        <family val="2"/>
      </rPr>
      <t xml:space="preserve">³; Массив Ольхи -- 550 кг/м³;  Массив Ясеня -- 750 кг/м³; Массив Дуба -- 690 кг/м³; МДФ -- 760 кг/м³  </t>
    </r>
  </si>
  <si>
    <t>Вес ручки, гр</t>
  </si>
  <si>
    <t>L1</t>
  </si>
  <si>
    <t>Тип механизма                                                                                 ↙      ↓       ↘</t>
  </si>
  <si>
    <t>Дополнительные параметры</t>
  </si>
  <si>
    <t>50-60 кг</t>
  </si>
  <si>
    <t>40-50 кг</t>
  </si>
  <si>
    <t>30-40 кг</t>
  </si>
  <si>
    <t>20-30 кг</t>
  </si>
  <si>
    <t>10-20 кг</t>
  </si>
  <si>
    <t>0-10 кг</t>
  </si>
  <si>
    <t>Вес ящика →</t>
  </si>
  <si>
    <t>Ширина фасада</t>
  </si>
  <si>
    <t>19 мм</t>
  </si>
  <si>
    <t>МДФ</t>
  </si>
  <si>
    <t>Толщина</t>
  </si>
  <si>
    <t>Материал</t>
  </si>
  <si>
    <t>Параметры фасада</t>
  </si>
  <si>
    <t>Внутренняя ширина корпуса, мм</t>
  </si>
  <si>
    <t>Общий вес ящика, кг</t>
  </si>
  <si>
    <t>Вес наполнения, кг</t>
  </si>
  <si>
    <t>Вес ручки, кг</t>
  </si>
  <si>
    <t>Вес ящика, кг</t>
  </si>
  <si>
    <t>Длина направляющей (NL), мм</t>
  </si>
  <si>
    <t>Высота боковин ящика</t>
  </si>
  <si>
    <t>РЕЗУЛЬТАТ:</t>
  </si>
  <si>
    <t>Размеры ящика</t>
  </si>
  <si>
    <t>В областях окрашеных в желтый -вводите значение вручную</t>
  </si>
  <si>
    <t>В областях окрашеных в зеленый -выбирайте значение из выпадающего списка</t>
  </si>
  <si>
    <t>ВНИМАНИЕ! При расчете веса ящика получаются ориентировочные значения!</t>
  </si>
  <si>
    <t>переменная</t>
  </si>
  <si>
    <t>C вн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</si>
  <si>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C </t>
    </r>
    <r>
      <rPr>
        <sz val="11"/>
        <color theme="1"/>
        <rFont val="Calibri"/>
        <family val="2"/>
        <charset val="204"/>
        <scheme val="minor"/>
      </rPr>
      <t>внутренний</t>
    </r>
  </si>
  <si>
    <t>M вн</t>
  </si>
  <si>
    <t>ДВП</t>
  </si>
  <si>
    <r>
      <t xml:space="preserve">высота </t>
    </r>
    <r>
      <rPr>
        <b/>
        <sz val="11"/>
        <color theme="1"/>
        <rFont val="Calibri"/>
        <family val="2"/>
        <charset val="204"/>
        <scheme val="minor"/>
      </rPr>
      <t xml:space="preserve">M </t>
    </r>
    <r>
      <rPr>
        <sz val="11"/>
        <color theme="1"/>
        <rFont val="Calibri"/>
        <family val="2"/>
        <charset val="204"/>
        <scheme val="minor"/>
      </rPr>
      <t>внутренний</t>
    </r>
  </si>
  <si>
    <t>F</t>
  </si>
  <si>
    <t>Фасад</t>
  </si>
  <si>
    <t>4 мм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</si>
  <si>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F</t>
    </r>
  </si>
  <si>
    <t>C</t>
  </si>
  <si>
    <t>Дно</t>
  </si>
  <si>
    <t>Массив Дуба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</si>
  <si>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C</t>
    </r>
  </si>
  <si>
    <t>K</t>
  </si>
  <si>
    <t>Задн стенка</t>
  </si>
  <si>
    <t>18 мм</t>
  </si>
  <si>
    <t>Массив Ясеня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</si>
  <si>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K</t>
    </r>
  </si>
  <si>
    <t>N</t>
  </si>
  <si>
    <t>Ящик</t>
  </si>
  <si>
    <t>Только задняя царга</t>
  </si>
  <si>
    <t>16 мм</t>
  </si>
  <si>
    <t>Массив Ольхи</t>
  </si>
  <si>
    <r>
      <t xml:space="preserve">высота </t>
    </r>
    <r>
      <rPr>
        <b/>
        <sz val="11"/>
        <color theme="1"/>
        <rFont val="Calibri"/>
        <family val="2"/>
        <charset val="204"/>
        <scheme val="minor"/>
      </rPr>
      <t>M</t>
    </r>
  </si>
  <si>
    <t>M</t>
  </si>
  <si>
    <t>Вес</t>
  </si>
  <si>
    <t>толщина</t>
  </si>
  <si>
    <t>плотность</t>
  </si>
  <si>
    <t>квадратура</t>
  </si>
  <si>
    <t>Элемент</t>
  </si>
  <si>
    <t>Передняя и задняя царга</t>
  </si>
  <si>
    <t>10 мм</t>
  </si>
  <si>
    <t>ДСП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</si>
  <si>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N</t>
    </r>
  </si>
  <si>
    <t>задн ст</t>
  </si>
  <si>
    <t>Веса ящика 500</t>
  </si>
  <si>
    <t>Веса ящика 450</t>
  </si>
  <si>
    <t>выс</t>
  </si>
  <si>
    <t>Номер столбца по весу</t>
  </si>
  <si>
    <t>Итоги</t>
  </si>
  <si>
    <t>Пер царга</t>
  </si>
  <si>
    <t>Толщина материала</t>
  </si>
  <si>
    <t>Плотность</t>
  </si>
  <si>
    <t>NL</t>
  </si>
  <si>
    <t>Все высоты</t>
  </si>
  <si>
    <t xml:space="preserve"> МДФ -- 760 кг/м³ </t>
  </si>
  <si>
    <t xml:space="preserve"> Массив Дуба -- 690 кг/м³ </t>
  </si>
  <si>
    <t>Массив Ясеня -- 750 кг/м³</t>
  </si>
  <si>
    <t>Высота фасада, мм</t>
  </si>
  <si>
    <t xml:space="preserve">Массив Ольхи -- 550 кг/м³ </t>
  </si>
  <si>
    <t>Ширина фасада, мм</t>
  </si>
  <si>
    <t xml:space="preserve"> ДСП -- 680 кг/м³ </t>
  </si>
  <si>
    <t>Высота боковин ящика, мм</t>
  </si>
  <si>
    <t xml:space="preserve">Используемые при расчете коэф. плотности материалов:  </t>
  </si>
  <si>
    <t>S1</t>
  </si>
  <si>
    <r>
      <t xml:space="preserve">Тип механизма                                                                                            </t>
    </r>
    <r>
      <rPr>
        <b/>
        <sz val="9"/>
        <color theme="0"/>
        <rFont val="Calibri"/>
        <family val="2"/>
        <charset val="204"/>
      </rPr>
      <t>↙  ↓</t>
    </r>
    <r>
      <rPr>
        <b/>
        <sz val="9"/>
        <color theme="0"/>
        <rFont val="Calibri"/>
        <family val="2"/>
        <charset val="204"/>
        <scheme val="minor"/>
      </rPr>
      <t xml:space="preserve">   </t>
    </r>
    <r>
      <rPr>
        <b/>
        <sz val="9"/>
        <color theme="0"/>
        <rFont val="Calibri"/>
        <family val="2"/>
        <charset val="204"/>
      </rPr>
      <t>↓  ↘</t>
    </r>
  </si>
  <si>
    <r>
      <t xml:space="preserve">Вес ящика </t>
    </r>
    <r>
      <rPr>
        <b/>
        <sz val="9"/>
        <color theme="0"/>
        <rFont val="Calibri"/>
        <family val="2"/>
        <charset val="204"/>
      </rPr>
      <t>→</t>
    </r>
  </si>
  <si>
    <t>Рекомендуемый тип механизма подсвечивается красным согласно заданным вами параметрам</t>
  </si>
  <si>
    <t>Наличие передней царги</t>
  </si>
  <si>
    <t>Тип ящика</t>
  </si>
  <si>
    <t>Материал дна ящика</t>
  </si>
  <si>
    <t>Материал стенок ящика</t>
  </si>
  <si>
    <t>Параметры материала</t>
  </si>
  <si>
    <t>фасад</t>
  </si>
  <si>
    <t>дно</t>
  </si>
  <si>
    <t>царга П</t>
  </si>
  <si>
    <t>царга З</t>
  </si>
  <si>
    <t>боковина П</t>
  </si>
  <si>
    <t>боковина Л</t>
  </si>
  <si>
    <t>высота M</t>
  </si>
  <si>
    <t xml:space="preserve"> ДВП -- 900 кг/м³</t>
  </si>
  <si>
    <t xml:space="preserve">               TIP-ON BLUMOTION  для LEGRABOX</t>
  </si>
  <si>
    <t>С О Д Е Р Ж А Н И Е:</t>
  </si>
  <si>
    <t>В областях окрашеных в зеленый -выберите значение из предложенного списка -</t>
  </si>
  <si>
    <t>В областях окрашеных в желтый -введите значение вручную -</t>
  </si>
  <si>
    <t>РЕЗУЛЬТАТ РАСЧЁТА:</t>
  </si>
  <si>
    <t>Фасады ДСП (16 мм) с наклеенным СТЕКЛОМ (4 мм)+ ДСП (16 мм) с наклеенным СТЕКЛОМ (4 мм)</t>
  </si>
  <si>
    <t>Фасад ДСП (16 мм) с наклеенным СТЕКЛОМ (4 мм)</t>
  </si>
  <si>
    <t>20K2C01 + 20K2E01 /                                    20K2C01T + 20K2E01T</t>
  </si>
  <si>
    <t>Задать вопрос:</t>
  </si>
  <si>
    <t>дополнительная информация об изделии в интернете</t>
  </si>
  <si>
    <t xml:space="preserve">   ВНИМАНИЕ! При расчете веса ящика получаются ориентировочные значения!</t>
  </si>
  <si>
    <t>ВЫПИСКА И СХЕМА МОНТАЖА TIP-ON BLUMOTION ДЛЯ LEGRABOX</t>
  </si>
  <si>
    <t>← СОДЕРЖАНИЕ:</t>
  </si>
  <si>
    <t xml:space="preserve">               TIP-ON BLUMOTION  для TANDEMBOX</t>
  </si>
  <si>
    <t>Высота боковин ящика TANDEMBOX</t>
  </si>
  <si>
    <t>Данный калькулятор предназначен для быстрого расчёта веса фасадов и правильного выбора необходимых механизмов BLUM.</t>
  </si>
  <si>
    <t xml:space="preserve">Выбрав в содержании нужный тип механизма AVENTOS, калькулятор предлагает различные варианты часто используемых материалов фасадов. </t>
  </si>
  <si>
    <t xml:space="preserve">В калькуляторе можно ознакомиться со схемами монтажа механизмов BLUM  и перейдя по ссылкам в содержании получить дополнительную информацию об изделиях. </t>
  </si>
  <si>
    <t>Для оптимального функционирования и увеличения области срабатывания рекомендуется использовать синхронизатор TIP-ON BLUMOTION.</t>
  </si>
  <si>
    <t xml:space="preserve">Для определения нужного типа механизмов AVENTOS или TIP-ON BLUMOTION, необходимо внести в ячейках таблицы требуемые параметры, напротив выбранного материала (например: размеры корпуса и вес ручки). </t>
  </si>
  <si>
    <t>Описание:</t>
  </si>
  <si>
    <t>Наши контакты:</t>
  </si>
  <si>
    <t>+375 17 3 200 100 тел./факс</t>
  </si>
  <si>
    <t>+375 29 3 940 100 Velcom</t>
  </si>
  <si>
    <t>+375 33 3 640 100 MTC</t>
  </si>
  <si>
    <t>blum@antarion.by</t>
  </si>
  <si>
    <t>Минская обл., Минский р-н, Новодворский с/с, 40-8а, район д. Большое Стиклево, 2 этаж.</t>
  </si>
  <si>
    <t>Время работы: Пн-Пт. 09:00-18:00 (без перерыва на обед).</t>
  </si>
  <si>
    <t>Офис и фирменный магазин Blum</t>
  </si>
  <si>
    <t>Офис и склад в одном месте.</t>
  </si>
  <si>
    <t>Номинальная длина (NL), мм</t>
  </si>
  <si>
    <t>Высота задней стенки, мм</t>
  </si>
  <si>
    <t>Ширина задней стенки, мм</t>
  </si>
  <si>
    <t>Ширина дна ящика, мм</t>
  </si>
  <si>
    <t>Длина дна ящика, мм</t>
  </si>
  <si>
    <t>B</t>
  </si>
  <si>
    <t>D</t>
  </si>
  <si>
    <t>ПРИМЕР:</t>
  </si>
  <si>
    <t>Высота LEGRABOX</t>
  </si>
  <si>
    <t>Высота TANDEMBOX</t>
  </si>
  <si>
    <t>написать нам письмо</t>
  </si>
  <si>
    <t>Внутренняя ширина корпуса (LW), мм</t>
  </si>
  <si>
    <t>Размер ширины противоскользящего коврика в TBX, мм</t>
  </si>
  <si>
    <t>Размер глубины противоскользящего коврика в TBX, мм</t>
  </si>
  <si>
    <t>Размер ширины противоскользящего коврика в LBX, мм</t>
  </si>
  <si>
    <t>Размер глубины противоскользящего коврика в LBX, мм</t>
  </si>
  <si>
    <t>Размер глубины для внутреннего ящика LBX с передней вставкой</t>
  </si>
  <si>
    <t xml:space="preserve">Расчёт для стандартного и внутреннего ящика LEGRABOX:
Длина: НД- 27 мм
(Номинальная Длина)
Ширина: ВШК- 43 мм
(Внутреняя Ширина Корпуса)
</t>
  </si>
  <si>
    <t xml:space="preserve">Внутренний ящик с передней вставкой
Расчёт:
Длина: НД - 40 мм
Ширина: ВШК- 43 мм
</t>
  </si>
  <si>
    <t>Расчёт размеров ковриков по длине и ширине: Ширна коврика:  ВШК - 85 мм Длина коврика:  НД -  25 мм.   ВШК: внутреняя ширина корпуса НД: номинальная длина выдвижной системы</t>
  </si>
  <si>
    <r>
      <rPr>
        <b/>
        <sz val="14"/>
        <rFont val="Arial"/>
        <family val="2"/>
        <charset val="204"/>
      </rPr>
      <t>Фасад ДСП</t>
    </r>
    <r>
      <rPr>
        <b/>
        <sz val="10"/>
        <rFont val="Arial"/>
        <family val="2"/>
        <charset val="204"/>
      </rPr>
      <t xml:space="preserve"> (16 мм)</t>
    </r>
    <r>
      <rPr>
        <b/>
        <sz val="12"/>
        <rFont val="Arial"/>
        <family val="2"/>
        <charset val="204"/>
      </rPr>
      <t xml:space="preserve"> </t>
    </r>
    <r>
      <rPr>
        <b/>
        <sz val="14"/>
        <rFont val="Arial"/>
        <family val="2"/>
        <charset val="204"/>
      </rPr>
      <t>с наклеенным СТЕКЛОМ</t>
    </r>
    <r>
      <rPr>
        <b/>
        <sz val="12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(4 мм)</t>
    </r>
  </si>
  <si>
    <t>Толщина фасада, мм</t>
  </si>
  <si>
    <r>
      <t xml:space="preserve">Фасады ДСП + ДСП </t>
    </r>
    <r>
      <rPr>
        <b/>
        <sz val="10"/>
        <rFont val="Arial"/>
        <family val="2"/>
        <charset val="204"/>
      </rPr>
      <t>(плотность 680 кг/м³)</t>
    </r>
  </si>
  <si>
    <r>
      <t xml:space="preserve">Фасады МДФ + МДФ </t>
    </r>
    <r>
      <rPr>
        <b/>
        <sz val="10"/>
        <rFont val="Arial"/>
        <family val="2"/>
        <charset val="204"/>
      </rPr>
      <t>(плотность 760 кг/м³)</t>
    </r>
  </si>
  <si>
    <r>
      <t xml:space="preserve">Фасад ДСП
</t>
    </r>
    <r>
      <rPr>
        <b/>
        <sz val="10"/>
        <rFont val="Arial"/>
        <family val="2"/>
        <charset val="204"/>
      </rPr>
      <t>(плотность 680 кг/м³)</t>
    </r>
  </si>
  <si>
    <r>
      <rPr>
        <b/>
        <sz val="14"/>
        <rFont val="Arial"/>
        <family val="2"/>
        <charset val="204"/>
      </rPr>
      <t>Фасад МДФ</t>
    </r>
    <r>
      <rPr>
        <b/>
        <sz val="16"/>
        <rFont val="Arial"/>
        <family val="2"/>
        <charset val="204"/>
      </rPr>
      <t xml:space="preserve">
</t>
    </r>
    <r>
      <rPr>
        <b/>
        <sz val="10"/>
        <rFont val="Arial"/>
        <family val="2"/>
        <charset val="204"/>
      </rPr>
      <t>(плотность 760 кг/м³)</t>
    </r>
  </si>
  <si>
    <r>
      <rPr>
        <b/>
        <sz val="16"/>
        <rFont val="Arial"/>
        <family val="2"/>
        <charset val="204"/>
      </rPr>
      <t xml:space="preserve">Фасад ДСП </t>
    </r>
    <r>
      <rPr>
        <b/>
        <sz val="10"/>
        <rFont val="Arial"/>
        <family val="2"/>
        <charset val="204"/>
      </rPr>
      <t>(плотность 680 кг/м³)</t>
    </r>
  </si>
  <si>
    <r>
      <t xml:space="preserve">Фасад МДФ </t>
    </r>
    <r>
      <rPr>
        <b/>
        <sz val="10"/>
        <rFont val="Arial"/>
        <family val="2"/>
        <charset val="204"/>
      </rPr>
      <t>(плотность 760 кг/м³)</t>
    </r>
  </si>
  <si>
    <r>
      <rPr>
        <b/>
        <sz val="16"/>
        <rFont val="Arial"/>
        <family val="2"/>
        <charset val="204"/>
      </rPr>
      <t xml:space="preserve">Фасад МДФ </t>
    </r>
    <r>
      <rPr>
        <b/>
        <sz val="10"/>
        <rFont val="Arial"/>
        <family val="2"/>
        <charset val="204"/>
      </rPr>
      <t>(плотность 760 кг/м³)</t>
    </r>
  </si>
  <si>
    <r>
      <t xml:space="preserve">Фасад ДСП </t>
    </r>
    <r>
      <rPr>
        <b/>
        <sz val="10"/>
        <rFont val="Arial"/>
        <family val="2"/>
        <charset val="204"/>
      </rPr>
      <t>(плотность 680 кг/м³)</t>
    </r>
  </si>
  <si>
    <r>
      <t xml:space="preserve">Фасад ДСП </t>
    </r>
    <r>
      <rPr>
        <b/>
        <sz val="12"/>
        <rFont val="Arial"/>
        <family val="2"/>
        <charset val="204"/>
      </rPr>
      <t>(плотность 680 кг/м³)</t>
    </r>
  </si>
  <si>
    <r>
      <t xml:space="preserve">Фасад МДФ </t>
    </r>
    <r>
      <rPr>
        <b/>
        <sz val="12"/>
        <rFont val="Arial"/>
        <family val="2"/>
        <charset val="204"/>
      </rPr>
      <t>(плотность 760 кг/м³)</t>
    </r>
  </si>
  <si>
    <t xml:space="preserve">Н </t>
  </si>
  <si>
    <t xml:space="preserve">
=</t>
  </si>
  <si>
    <t>Позиция крепления силового механизма:</t>
  </si>
  <si>
    <t>Введите высоту корпуса (мм):</t>
  </si>
  <si>
    <t>Наложение фасада на боковину корпуса (мм):</t>
  </si>
  <si>
    <t>Для получения необходимых размеров заполните крассные ячейки:</t>
  </si>
  <si>
    <t>22K23***/ 22K23***T</t>
  </si>
  <si>
    <t>22K25*** / 22K25***T</t>
  </si>
  <si>
    <t>22K27*** / 22K27***T</t>
  </si>
  <si>
    <t>22K29*** / 22K29***T</t>
  </si>
  <si>
    <t>Комплект с TIP-ON</t>
  </si>
  <si>
    <t>Позиция крепления механизма в корпусе:</t>
  </si>
  <si>
    <t>Позиция крепления фасада:</t>
  </si>
  <si>
    <t>Выберите необходимые значения в двух ячейках</t>
  </si>
  <si>
    <t>Накладная петля</t>
  </si>
  <si>
    <t>Полунакладная петля</t>
  </si>
  <si>
    <t>Толщина крышки корпуса в мм, (SOB)</t>
  </si>
  <si>
    <t>14 мм</t>
  </si>
  <si>
    <t>15 мм</t>
  </si>
  <si>
    <t>17 мм</t>
  </si>
  <si>
    <t>20 мм</t>
  </si>
  <si>
    <t>21 мм</t>
  </si>
  <si>
    <t>22 мм</t>
  </si>
  <si>
    <t>23 мм</t>
  </si>
  <si>
    <t>24 мм</t>
  </si>
  <si>
    <t>25 мм</t>
  </si>
  <si>
    <t>26 мм</t>
  </si>
  <si>
    <t>27 мм</t>
  </si>
  <si>
    <t>28 мм</t>
  </si>
  <si>
    <t>29 мм</t>
  </si>
  <si>
    <t>30 мм</t>
  </si>
  <si>
    <t>1 мм</t>
  </si>
  <si>
    <t>2 мм</t>
  </si>
  <si>
    <t>3 мм</t>
  </si>
  <si>
    <t>5 мм</t>
  </si>
  <si>
    <t>6 мм</t>
  </si>
  <si>
    <t>7 мм</t>
  </si>
  <si>
    <t>8 мм</t>
  </si>
  <si>
    <t>9 мм</t>
  </si>
  <si>
    <t>11 мм</t>
  </si>
  <si>
    <t>12 мм</t>
  </si>
  <si>
    <t>13 мм</t>
  </si>
  <si>
    <t>H  =</t>
  </si>
  <si>
    <t>Наложение фасада, при ответной планке 0 мм, (тип петли)</t>
  </si>
  <si>
    <t>Верхнее наложение (Fao), в мм</t>
  </si>
  <si>
    <t>Боковое наложение (SFA), в мм</t>
  </si>
  <si>
    <t>Введите высоту верхнего фасада (FH):</t>
  </si>
  <si>
    <t>Позиция крепления ответной планки телескопического рычага</t>
  </si>
  <si>
    <t>Необходимая длина вала синхронизации, мм</t>
  </si>
  <si>
    <t>Наружная ширина корпуса, мм</t>
  </si>
  <si>
    <t>Колличество ящиков, на которое достаточно одного вала синхронизации, шт</t>
  </si>
  <si>
    <r>
      <t xml:space="preserve">TANDEMBOX 
</t>
    </r>
    <r>
      <rPr>
        <sz val="12"/>
        <color theme="1"/>
        <rFont val="Calibri"/>
        <family val="2"/>
        <charset val="204"/>
        <scheme val="minor"/>
      </rPr>
      <t>(Внутренняя ширина корпуса - 240 мм)</t>
    </r>
  </si>
  <si>
    <r>
      <t xml:space="preserve">LEGRABOX
</t>
    </r>
    <r>
      <rPr>
        <sz val="12"/>
        <color theme="1"/>
        <rFont val="Calibri"/>
        <family val="2"/>
        <charset val="204"/>
        <scheme val="minor"/>
      </rPr>
      <t>(Внутренняя ширина корпуса - 247 мм)</t>
    </r>
  </si>
  <si>
    <r>
      <t xml:space="preserve">LEGRABOX для ящика под мойку
</t>
    </r>
    <r>
      <rPr>
        <sz val="12"/>
        <color theme="1"/>
        <rFont val="Calibri"/>
        <family val="2"/>
        <charset val="204"/>
        <scheme val="minor"/>
      </rPr>
      <t>(Внутренняя ширина корпуса - 247 мм)</t>
    </r>
  </si>
  <si>
    <r>
      <t xml:space="preserve">Внутренняя ширина корпуса, мм 
</t>
    </r>
    <r>
      <rPr>
        <sz val="12"/>
        <color theme="1"/>
        <rFont val="Calibri"/>
        <family val="2"/>
        <charset val="204"/>
        <scheme val="minor"/>
      </rPr>
      <t>(толщина боковин корпуса 18 мм)</t>
    </r>
  </si>
  <si>
    <r>
      <t xml:space="preserve">MOVENTO
</t>
    </r>
    <r>
      <rPr>
        <sz val="12"/>
        <color theme="1"/>
        <rFont val="Calibri"/>
        <family val="2"/>
        <charset val="204"/>
        <scheme val="minor"/>
      </rPr>
      <t>(Внутренняя ширина корпуса - 267 мм)</t>
    </r>
  </si>
  <si>
    <t>Вал синхронизации TIP-ON BLUMOTION (T60.1125W; длина=1125 мм) для:</t>
  </si>
  <si>
    <t>Раскрой валов синхронизации TIP-ON BLUMOTION и TIP-ON</t>
  </si>
  <si>
    <t>Комплект силового механизма (вес в кг)</t>
  </si>
  <si>
    <t>2 силовых механизма AVENTOS HK top 23</t>
  </si>
  <si>
    <t>2 силовых механизма AVENTOS HK top 25</t>
  </si>
  <si>
    <t>2 силовых механизма AVENTOS HK top 27</t>
  </si>
  <si>
    <t>2 силовых механизма AVENTOS HK top 29</t>
  </si>
  <si>
    <t xml:space="preserve">2 силовых механизма AVENTOS HK-S "C" </t>
  </si>
  <si>
    <t>Cиловой механизм AVENTOSs HK-S "C" (1 шт) и силовой механизм AVENTOS HK-S "E" (1 шт)</t>
  </si>
  <si>
    <t xml:space="preserve">2 силовых механизма AVENTOS HK-S "E" </t>
  </si>
  <si>
    <r>
      <rPr>
        <b/>
        <sz val="14"/>
        <color theme="1"/>
        <rFont val="Calibri"/>
        <family val="2"/>
        <charset val="204"/>
        <scheme val="minor"/>
      </rPr>
      <t>TANDEM plus 560F  (полное выдвижение)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Calibri"/>
        <family val="2"/>
        <charset val="204"/>
        <scheme val="minor"/>
      </rPr>
      <t xml:space="preserve">Вал синхронизации TIP-ON  (T55.889W). Длина: 889 мм, для ширины корпуса: 1200 мм.
</t>
    </r>
    <r>
      <rPr>
        <sz val="12"/>
        <color theme="1"/>
        <rFont val="Calibri"/>
        <family val="2"/>
        <charset val="204"/>
        <scheme val="minor"/>
      </rPr>
      <t>(Внутренняя ширина корпуса - 284 мм)</t>
    </r>
  </si>
  <si>
    <r>
      <rPr>
        <b/>
        <sz val="14"/>
        <color theme="1"/>
        <rFont val="Calibri"/>
        <family val="2"/>
        <charset val="204"/>
        <scheme val="minor"/>
      </rPr>
      <t>TANDEM plus 560F  (полное выдвижение)</t>
    </r>
    <r>
      <rPr>
        <sz val="14"/>
        <color theme="1"/>
        <rFont val="Calibri"/>
        <family val="2"/>
        <scheme val="minor"/>
      </rPr>
      <t>.</t>
    </r>
    <r>
      <rPr>
        <sz val="14"/>
        <color theme="1"/>
        <rFont val="Calibri"/>
        <family val="2"/>
        <charset val="204"/>
        <scheme val="minor"/>
      </rPr>
      <t xml:space="preserve"> Вал синхронизации TIP-ON  (T55.1089ZR). Длина: 1089 мм, для ширины корпуса: 1400 мм.
</t>
    </r>
    <r>
      <rPr>
        <sz val="12"/>
        <color theme="1"/>
        <rFont val="Calibri"/>
        <family val="2"/>
        <charset val="204"/>
        <scheme val="minor"/>
      </rPr>
      <t>(Внутренняя ширина корпуса - 284 мм)</t>
    </r>
  </si>
  <si>
    <r>
      <rPr>
        <b/>
        <sz val="14"/>
        <color theme="1"/>
        <rFont val="Calibri"/>
        <family val="2"/>
        <charset val="204"/>
        <scheme val="minor"/>
      </rPr>
      <t>TANDEM 550F/560F  (частичное и полное выдвижение со встроенным TIP-ON)</t>
    </r>
    <r>
      <rPr>
        <sz val="14"/>
        <color theme="1"/>
        <rFont val="Calibri"/>
        <family val="2"/>
        <scheme val="minor"/>
      </rPr>
      <t>.</t>
    </r>
    <r>
      <rPr>
        <sz val="14"/>
        <color theme="1"/>
        <rFont val="Calibri"/>
        <family val="2"/>
        <charset val="204"/>
        <scheme val="minor"/>
      </rPr>
      <t xml:space="preserve"> Вал синхронизации TIP-ON  (T57.1140S). Длина: 1140 мм, для ширины корпуса: 1200 мм.
</t>
    </r>
    <r>
      <rPr>
        <sz val="12"/>
        <color theme="1"/>
        <rFont val="Calibri"/>
        <family val="2"/>
        <charset val="204"/>
        <scheme val="minor"/>
      </rPr>
      <t>(Внутренняя ширина корпуса - 39 мм)</t>
    </r>
  </si>
  <si>
    <t>Напротив ячейки с материалом Вашего фасада введите его высоту (от 480 до 1200 мм) и ширину (до 1800 мм).</t>
  </si>
  <si>
    <t>22F2501</t>
  </si>
  <si>
    <t>ВНИМАНИЕ! 
При расчете веса фасада
получаются ориентировочные значения!</t>
  </si>
  <si>
    <t>Силовой механизм AVENTOS HF top 25</t>
  </si>
  <si>
    <t>Силовой механизм Aventos HF top 28</t>
  </si>
  <si>
    <t>22F2801</t>
  </si>
  <si>
    <t>Телескопический рычаг 32</t>
  </si>
  <si>
    <t>22F3501</t>
  </si>
  <si>
    <t>22F3201</t>
  </si>
  <si>
    <t>Телескопический рычаг 35</t>
  </si>
  <si>
    <t>22F3901</t>
  </si>
  <si>
    <t>Телескопический рычаг 39</t>
  </si>
  <si>
    <t>Силовой механизм AVENTOS HF top 28</t>
  </si>
  <si>
    <t>Выписка AVENTOS HF top</t>
  </si>
  <si>
    <t>22F2X01</t>
  </si>
  <si>
    <t>22F3X01</t>
  </si>
  <si>
    <t>Заглушка правая</t>
  </si>
  <si>
    <t>22.8001  R</t>
  </si>
  <si>
    <t>Заглушка левая</t>
  </si>
  <si>
    <t>22.8001  L</t>
  </si>
  <si>
    <t>Элемент брендинга</t>
  </si>
  <si>
    <t>ABD.1009</t>
  </si>
  <si>
    <t>При установке ограничителя в позицию 97°:</t>
  </si>
  <si>
    <t>При установке ограничителя в позицию 88°:</t>
  </si>
  <si>
    <t>При установке ограничителя в позицию 81°:</t>
  </si>
  <si>
    <t>Необходимое пространство над корпусом (Y):</t>
  </si>
  <si>
    <t>Введите толщину нижнего фасада (FD):</t>
  </si>
  <si>
    <t>Необходимое пространство над и перед корпусом</t>
  </si>
  <si>
    <t>Необходимое пространство перед корпусом (X):</t>
  </si>
  <si>
    <r>
      <t>При установке ограничителя в позицию 107</t>
    </r>
    <r>
      <rPr>
        <b/>
        <sz val="10"/>
        <rFont val="Calibri"/>
        <family val="2"/>
        <charset val="204"/>
      </rPr>
      <t>°:</t>
    </r>
  </si>
  <si>
    <t>350 - 450</t>
  </si>
  <si>
    <t>Высота корпуса (мм)</t>
  </si>
  <si>
    <t>450 - 540</t>
  </si>
  <si>
    <t>480 - 660</t>
  </si>
  <si>
    <t>650 - 800</t>
  </si>
  <si>
    <t>2 - 11,5</t>
  </si>
  <si>
    <t>2,5 - 12,5</t>
  </si>
  <si>
    <t>22S2200</t>
  </si>
  <si>
    <t>22S2500</t>
  </si>
  <si>
    <t>22S2800</t>
  </si>
  <si>
    <t>2,75 - 15,25</t>
  </si>
  <si>
    <t>3,5 - 18,5</t>
  </si>
  <si>
    <t>Тип силового механизма</t>
  </si>
  <si>
    <t>22S3501</t>
  </si>
  <si>
    <t>Рычаг симметричный Авентос HS top</t>
  </si>
  <si>
    <t>Вес фасада для 2-х силовых механизмов (кг)</t>
  </si>
  <si>
    <t>№</t>
  </si>
  <si>
    <t>Колличество, шт</t>
  </si>
  <si>
    <t>Силовой механизм AVENTOS HS top</t>
  </si>
  <si>
    <t>Необходимый тип механизма:</t>
  </si>
  <si>
    <t>Проектирование Aventos HK top</t>
  </si>
  <si>
    <t>Проектирование Aventos HK-S</t>
  </si>
  <si>
    <t>Проектирование Aventos HK-XS</t>
  </si>
  <si>
    <t>ВЫПИСКА И СХЕМА МОНТАЖА TIP-ON BLUMOTION ДЛЯ TANDEMBOX</t>
  </si>
  <si>
    <t>Выписка Aventos HS top :</t>
  </si>
  <si>
    <r>
      <t>22S</t>
    </r>
    <r>
      <rPr>
        <b/>
        <sz val="12"/>
        <rFont val="Arial"/>
        <family val="2"/>
        <charset val="204"/>
      </rPr>
      <t>Х</t>
    </r>
    <r>
      <rPr>
        <sz val="12"/>
        <rFont val="Arial"/>
        <family val="2"/>
        <charset val="204"/>
      </rPr>
      <t>01</t>
    </r>
  </si>
  <si>
    <t>Заглушка правая, цвета: SW, HGR, TGR</t>
  </si>
  <si>
    <t>Заглушка левая, цвета: SW, HGR, TGR</t>
  </si>
  <si>
    <t xml:space="preserve">Элемент брендинга, с логотипом Blum </t>
  </si>
  <si>
    <t>300 - 339</t>
  </si>
  <si>
    <t>Высота корпуса, мм</t>
  </si>
  <si>
    <t>340 - 389</t>
  </si>
  <si>
    <t>390 - 540</t>
  </si>
  <si>
    <t>480 - 580</t>
  </si>
  <si>
    <t>22L2200</t>
  </si>
  <si>
    <t>22L2500</t>
  </si>
  <si>
    <t>22L3200</t>
  </si>
  <si>
    <t>22L3500</t>
  </si>
  <si>
    <t>22L3800</t>
  </si>
  <si>
    <t>22L3900</t>
  </si>
  <si>
    <t>1,5 кг - 9 кг</t>
  </si>
  <si>
    <t>1,75 кг - 10 кг</t>
  </si>
  <si>
    <t>2 кг - 12,25 кг</t>
  </si>
  <si>
    <t>2,5 кг - 14 кг</t>
  </si>
  <si>
    <r>
      <t>Силовой механизм, симметричный HL top"</t>
    </r>
    <r>
      <rPr>
        <b/>
        <sz val="10"/>
        <color indexed="8"/>
        <rFont val="Arial"/>
        <family val="2"/>
        <charset val="204"/>
      </rPr>
      <t>X</t>
    </r>
    <r>
      <rPr>
        <sz val="10"/>
        <color indexed="8"/>
        <rFont val="Arial"/>
        <family val="2"/>
        <charset val="204"/>
      </rPr>
      <t>"</t>
    </r>
  </si>
  <si>
    <r>
      <t>22L2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</t>
    </r>
  </si>
  <si>
    <t xml:space="preserve">Рычаг Авентос HL top, симметричный </t>
  </si>
  <si>
    <r>
      <t>22L3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</t>
    </r>
  </si>
  <si>
    <t>Наименование:</t>
  </si>
  <si>
    <t>22Q1076U</t>
  </si>
  <si>
    <t>Заглушка на поперечный стабилизатор</t>
  </si>
  <si>
    <t>Держатель для поперечного стабилизатора</t>
  </si>
  <si>
    <t>Компенсатор длины для поперечного стабилизатора</t>
  </si>
  <si>
    <t>Штанга под раскрой (вн.шир.к.LW –113 мм)</t>
  </si>
  <si>
    <t>22Q080Z</t>
  </si>
  <si>
    <t>Комплект соединителя для поперечного стабилизатора, круглый</t>
  </si>
  <si>
    <t>22Q0003</t>
  </si>
  <si>
    <t>22Q0002</t>
  </si>
  <si>
    <t>22Q0004</t>
  </si>
  <si>
    <t>Проектирование Aventos HL top</t>
  </si>
  <si>
    <t>Выписка Aventos HL top</t>
  </si>
  <si>
    <t xml:space="preserve">Крепление фасада для Z1 </t>
  </si>
  <si>
    <t>Проектирование Aventos HS top</t>
  </si>
  <si>
    <t>Крепление фасада для деревянных / для узких алюм. рамок</t>
  </si>
  <si>
    <t>20S4201 / 20S4201A</t>
  </si>
  <si>
    <t>Проектирование AVENTOS HF top</t>
  </si>
  <si>
    <t xml:space="preserve">     1)   AVENTOS HF top</t>
  </si>
  <si>
    <t xml:space="preserve">     2)   AVENTOS HS top</t>
  </si>
  <si>
    <t xml:space="preserve">     3)   AVENTOS HL top</t>
  </si>
  <si>
    <t xml:space="preserve">     4)   AVENTOS HK top</t>
  </si>
  <si>
    <t xml:space="preserve">     5)   AVENTOS HK-S</t>
  </si>
  <si>
    <t xml:space="preserve">     6)   AVENTOS HK-XS</t>
  </si>
  <si>
    <t xml:space="preserve">     7)   TIP-ON BLUMOTION для LEGRABOX</t>
  </si>
  <si>
    <t xml:space="preserve">     8)   TIP-ON BUMOTION для MOVENTO</t>
  </si>
  <si>
    <t xml:space="preserve">     9)   TIP-ON BLUMOTION для TANDEMBOX</t>
  </si>
  <si>
    <t xml:space="preserve">   10)   TANDEMBOX Intivo, Antaro, Plus - расчёт боковых вставок</t>
  </si>
  <si>
    <t xml:space="preserve">   11)   Расчёт размеров дна и задней стенки TANDEMBOX</t>
  </si>
  <si>
    <t xml:space="preserve">   12)   Расчёт размеров дна и задней стенки LEGRABOX</t>
  </si>
  <si>
    <t xml:space="preserve">   13)   Раскрой валов синхронизации TIP-ON BLUMOTION и TIP-ON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</si>
</sst>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u/>
      <sz val="32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7"/>
      <name val="Arial"/>
      <family val="2"/>
      <charset val="204"/>
    </font>
    <font>
      <b/>
      <sz val="15"/>
      <color indexed="12"/>
      <name val="Arial"/>
      <family val="2"/>
      <charset val="204"/>
    </font>
    <font>
      <b/>
      <u/>
      <sz val="14"/>
      <name val="Arial"/>
      <family val="2"/>
      <charset val="204"/>
    </font>
    <font>
      <sz val="8"/>
      <name val="Arial"/>
      <family val="2"/>
      <charset val="204"/>
    </font>
    <font>
      <b/>
      <sz val="2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8"/>
      <color indexed="9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9"/>
      <color indexed="8"/>
      <name val="Arial"/>
      <family val="2"/>
      <charset val="204"/>
    </font>
    <font>
      <b/>
      <sz val="16"/>
      <color indexed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4"/>
      <name val="Arial"/>
      <family val="2"/>
      <charset val="204"/>
    </font>
    <font>
      <sz val="9"/>
      <color indexed="81"/>
      <name val="Tahoma"/>
      <family val="2"/>
      <charset val="204"/>
    </font>
    <font>
      <b/>
      <sz val="36"/>
      <color indexed="9"/>
      <name val="Arial"/>
      <family val="2"/>
      <charset val="204"/>
    </font>
    <font>
      <b/>
      <sz val="12.5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sz val="16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3.5"/>
      <name val="Arial"/>
      <family val="2"/>
      <charset val="204"/>
    </font>
    <font>
      <b/>
      <sz val="11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5"/>
      <color rgb="FF0000FF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i/>
      <sz val="18.5"/>
      <color rgb="FFFF000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5"/>
      <color rgb="FF0000FF"/>
      <name val="Arial"/>
      <family val="2"/>
      <charset val="204"/>
    </font>
    <font>
      <b/>
      <sz val="18"/>
      <color rgb="FF1007C1"/>
      <name val="Arial"/>
      <family val="2"/>
      <charset val="204"/>
    </font>
    <font>
      <b/>
      <sz val="18"/>
      <color rgb="FF002060"/>
      <name val="Arial"/>
      <family val="2"/>
      <charset val="204"/>
    </font>
    <font>
      <sz val="22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3.5"/>
      <color theme="0"/>
      <name val="Arial"/>
      <family val="2"/>
      <charset val="204"/>
    </font>
    <font>
      <b/>
      <sz val="12.5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b/>
      <i/>
      <sz val="14"/>
      <color indexed="8"/>
      <name val="Arial"/>
      <family val="2"/>
      <charset val="204"/>
    </font>
    <font>
      <b/>
      <i/>
      <sz val="15"/>
      <color indexed="12"/>
      <name val="Arial"/>
      <family val="2"/>
      <charset val="204"/>
    </font>
    <font>
      <b/>
      <i/>
      <sz val="14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i/>
      <sz val="15"/>
      <color indexed="8"/>
      <name val="Arial"/>
      <family val="2"/>
      <charset val="204"/>
    </font>
    <font>
      <b/>
      <u/>
      <sz val="3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theme="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2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7"/>
      <color theme="0"/>
      <name val="Calibri"/>
      <family val="2"/>
      <charset val="204"/>
      <scheme val="minor"/>
    </font>
    <font>
      <sz val="9"/>
      <color rgb="FFFF0000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rgb="FFFF0000"/>
      <name val="Calibri"/>
      <family val="2"/>
      <scheme val="minor"/>
    </font>
    <font>
      <b/>
      <sz val="20"/>
      <name val="Calibri"/>
      <family val="2"/>
      <charset val="204"/>
      <scheme val="minor"/>
    </font>
    <font>
      <sz val="9"/>
      <color rgb="FF00B050"/>
      <name val="Calibri"/>
      <family val="2"/>
      <scheme val="minor"/>
    </font>
    <font>
      <b/>
      <sz val="36"/>
      <name val="Arial"/>
      <family val="2"/>
      <charset val="204"/>
    </font>
    <font>
      <b/>
      <sz val="32"/>
      <color indexed="9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0"/>
      <color rgb="FFFF6600"/>
      <name val="Calibri"/>
      <family val="2"/>
      <scheme val="minor"/>
    </font>
    <font>
      <sz val="11"/>
      <color rgb="FFFF6600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u/>
      <sz val="10"/>
      <color theme="10"/>
      <name val="Arial"/>
      <family val="2"/>
      <charset val="204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color rgb="FFFF0000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i/>
      <sz val="10"/>
      <color theme="0"/>
      <name val="Arial"/>
      <family val="2"/>
      <charset val="204"/>
    </font>
    <font>
      <u/>
      <sz val="12"/>
      <name val="Arial"/>
      <family val="2"/>
      <charset val="204"/>
    </font>
    <font>
      <b/>
      <i/>
      <sz val="15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2"/>
      <color theme="0" tint="-0.499984740745262"/>
      <name val="Arial"/>
      <family val="2"/>
      <charset val="204"/>
    </font>
    <font>
      <sz val="12"/>
      <color theme="0" tint="-0.499984740745262"/>
      <name val="Arial"/>
      <family val="2"/>
      <charset val="204"/>
    </font>
    <font>
      <u/>
      <sz val="10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Arial Rounded MT Bold"/>
      <family val="2"/>
    </font>
    <font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b/>
      <sz val="14"/>
      <color rgb="FF0000FF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0"/>
      <name val="Arial"/>
      <family val="2"/>
      <charset val="204"/>
    </font>
    <font>
      <b/>
      <i/>
      <sz val="15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8"/>
      <name val="Times New Roman"/>
      <family val="1"/>
      <charset val="204"/>
    </font>
    <font>
      <b/>
      <u/>
      <sz val="12"/>
      <name val="Arial"/>
      <family val="2"/>
      <charset val="204"/>
    </font>
    <font>
      <sz val="22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i/>
      <sz val="16"/>
      <color rgb="FFFF0000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1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11"/>
      <color theme="0"/>
      <name val="Arial"/>
      <family val="2"/>
      <charset val="204"/>
    </font>
    <font>
      <i/>
      <sz val="12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8"/>
      <color rgb="FFFF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24"/>
      <color theme="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u/>
      <sz val="32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20"/>
      <color indexed="9"/>
      <name val="Arial"/>
      <family val="2"/>
      <charset val="204"/>
    </font>
    <font>
      <b/>
      <sz val="20"/>
      <color theme="0"/>
      <name val="Arial"/>
      <family val="2"/>
      <charset val="204"/>
    </font>
    <font>
      <b/>
      <sz val="24"/>
      <color rgb="FFFFFFFF"/>
      <name val="Arial"/>
      <family val="2"/>
      <charset val="204"/>
    </font>
    <font>
      <sz val="12"/>
      <color indexed="8"/>
      <name val="Arial"/>
      <family val="2"/>
      <charset val="204"/>
    </font>
    <font>
      <sz val="8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6E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BE1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98703"/>
        <bgColor indexed="64"/>
      </patternFill>
    </fill>
    <fill>
      <patternFill patternType="solid">
        <fgColor rgb="FFFF671F"/>
        <bgColor indexed="64"/>
      </patternFill>
    </fill>
    <fill>
      <gradientFill degree="90">
        <stop position="0">
          <color theme="0"/>
        </stop>
        <stop position="0.5">
          <color rgb="FF66CCFF"/>
        </stop>
        <stop position="1">
          <color theme="0"/>
        </stop>
      </gradientFill>
    </fill>
    <fill>
      <gradientFill degree="90">
        <stop position="0">
          <color rgb="FFFF860D"/>
        </stop>
        <stop position="0.5">
          <color theme="0"/>
        </stop>
        <stop position="1">
          <color rgb="FFFF860D"/>
        </stop>
      </gradientFill>
    </fill>
    <fill>
      <gradientFill degree="90">
        <stop position="0">
          <color rgb="FFFF6600"/>
        </stop>
        <stop position="0.5">
          <color theme="0"/>
        </stop>
        <stop position="1">
          <color rgb="FFFF6600"/>
        </stop>
      </gradientFill>
    </fill>
    <fill>
      <patternFill patternType="solid">
        <fgColor rgb="FFEF720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AE5D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DFFFF"/>
        <bgColor indexed="64"/>
      </patternFill>
    </fill>
    <fill>
      <patternFill patternType="solid">
        <fgColor rgb="FF99FFCC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/>
      <top style="thin">
        <color rgb="FF0000FF"/>
      </top>
      <bottom/>
      <diagonal style="thin">
        <color rgb="FF0000FF"/>
      </diagonal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 diagonalUp="1">
      <left/>
      <right style="thin">
        <color rgb="FF0000FF"/>
      </right>
      <top style="thin">
        <color rgb="FF0000FF"/>
      </top>
      <bottom/>
      <diagonal style="thin">
        <color rgb="FF0000FF"/>
      </diagonal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medium">
        <color rgb="FFEF720B"/>
      </left>
      <right style="medium">
        <color rgb="FFEF720B"/>
      </right>
      <top style="medium">
        <color rgb="FFEF720B"/>
      </top>
      <bottom/>
      <diagonal/>
    </border>
    <border>
      <left style="medium">
        <color rgb="FFEF720B"/>
      </left>
      <right style="medium">
        <color rgb="FFEF720B"/>
      </right>
      <top/>
      <bottom/>
      <diagonal/>
    </border>
    <border>
      <left style="medium">
        <color rgb="FFEF720B"/>
      </left>
      <right style="medium">
        <color rgb="FFEF720B"/>
      </right>
      <top/>
      <bottom style="medium">
        <color rgb="FFEF720B"/>
      </bottom>
      <diagonal/>
    </border>
    <border>
      <left style="medium">
        <color rgb="FFEF720B"/>
      </left>
      <right/>
      <top style="medium">
        <color rgb="FFEF720B"/>
      </top>
      <bottom/>
      <diagonal/>
    </border>
    <border>
      <left/>
      <right style="medium">
        <color rgb="FFEF720B"/>
      </right>
      <top style="medium">
        <color rgb="FFEF720B"/>
      </top>
      <bottom/>
      <diagonal/>
    </border>
    <border>
      <left style="medium">
        <color rgb="FFEF720B"/>
      </left>
      <right/>
      <top/>
      <bottom/>
      <diagonal/>
    </border>
    <border>
      <left/>
      <right style="medium">
        <color rgb="FFEF720B"/>
      </right>
      <top/>
      <bottom/>
      <diagonal/>
    </border>
    <border>
      <left style="medium">
        <color rgb="FFEF720B"/>
      </left>
      <right/>
      <top/>
      <bottom style="medium">
        <color rgb="FFEF720B"/>
      </bottom>
      <diagonal/>
    </border>
    <border>
      <left/>
      <right style="medium">
        <color rgb="FFEF720B"/>
      </right>
      <top/>
      <bottom style="medium">
        <color rgb="FFEF720B"/>
      </bottom>
      <diagonal/>
    </border>
    <border>
      <left/>
      <right/>
      <top style="medium">
        <color rgb="FFEF720B"/>
      </top>
      <bottom/>
      <diagonal/>
    </border>
    <border>
      <left/>
      <right/>
      <top/>
      <bottom style="medium">
        <color rgb="FFEF720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3" fillId="0" borderId="0"/>
    <xf numFmtId="0" fontId="111" fillId="0" borderId="0" applyNumberFormat="0" applyFill="0" applyBorder="0" applyAlignment="0" applyProtection="0"/>
  </cellStyleXfs>
  <cellXfs count="1317">
    <xf numFmtId="0" fontId="0" fillId="0" borderId="0" xfId="0"/>
    <xf numFmtId="0" fontId="5" fillId="0" borderId="2" xfId="0" applyFont="1" applyBorder="1" applyAlignment="1">
      <alignment horizontal="center" wrapText="1"/>
    </xf>
    <xf numFmtId="164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/>
    <xf numFmtId="1" fontId="7" fillId="0" borderId="0" xfId="0" applyNumberFormat="1" applyFont="1"/>
    <xf numFmtId="2" fontId="7" fillId="0" borderId="0" xfId="0" applyNumberFormat="1" applyFont="1" applyAlignment="1">
      <alignment wrapText="1"/>
    </xf>
    <xf numFmtId="164" fontId="7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33" xfId="0" applyFont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6" fillId="9" borderId="30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7" fillId="6" borderId="40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33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7" fillId="0" borderId="41" xfId="0" applyFont="1" applyBorder="1"/>
    <xf numFmtId="0" fontId="7" fillId="0" borderId="33" xfId="0" applyFont="1" applyBorder="1"/>
    <xf numFmtId="0" fontId="0" fillId="0" borderId="1" xfId="0" applyBorder="1"/>
    <xf numFmtId="0" fontId="6" fillId="10" borderId="3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/>
    </xf>
    <xf numFmtId="0" fontId="7" fillId="8" borderId="44" xfId="0" applyFont="1" applyFill="1" applyBorder="1" applyAlignment="1">
      <alignment horizontal="center"/>
    </xf>
    <xf numFmtId="0" fontId="7" fillId="0" borderId="37" xfId="0" applyFont="1" applyBorder="1"/>
    <xf numFmtId="0" fontId="0" fillId="0" borderId="29" xfId="0" applyBorder="1"/>
    <xf numFmtId="0" fontId="7" fillId="9" borderId="30" xfId="0" applyFont="1" applyFill="1" applyBorder="1" applyAlignment="1">
      <alignment horizontal="center"/>
    </xf>
    <xf numFmtId="0" fontId="7" fillId="0" borderId="30" xfId="0" applyFont="1" applyBorder="1" applyAlignment="1">
      <alignment horizontal="left"/>
    </xf>
    <xf numFmtId="0" fontId="0" fillId="0" borderId="30" xfId="0" applyBorder="1" applyAlignment="1">
      <alignment horizontal="center"/>
    </xf>
    <xf numFmtId="0" fontId="7" fillId="0" borderId="37" xfId="0" applyFont="1" applyBorder="1" applyAlignment="1">
      <alignment horizontal="left"/>
    </xf>
    <xf numFmtId="0" fontId="0" fillId="0" borderId="37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0" xfId="0" applyFont="1" applyBorder="1"/>
    <xf numFmtId="0" fontId="7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" fillId="11" borderId="0" xfId="0" applyFont="1" applyFill="1" applyAlignment="1">
      <alignment horizontal="center"/>
    </xf>
    <xf numFmtId="0" fontId="0" fillId="0" borderId="0" xfId="0" applyProtection="1">
      <protection hidden="1"/>
    </xf>
    <xf numFmtId="1" fontId="21" fillId="7" borderId="30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1" fillId="6" borderId="30" xfId="0" applyNumberFormat="1" applyFont="1" applyFill="1" applyBorder="1" applyAlignment="1" applyProtection="1">
      <alignment horizontal="center" vertical="center"/>
      <protection hidden="1"/>
    </xf>
    <xf numFmtId="2" fontId="20" fillId="4" borderId="30" xfId="0" applyNumberFormat="1" applyFont="1" applyFill="1" applyBorder="1" applyAlignment="1" applyProtection="1">
      <alignment horizontal="center" vertical="center" wrapText="1"/>
      <protection hidden="1"/>
    </xf>
    <xf numFmtId="2" fontId="20" fillId="3" borderId="30" xfId="0" applyNumberFormat="1" applyFont="1" applyFill="1" applyBorder="1" applyAlignment="1" applyProtection="1">
      <alignment horizontal="center" vertical="center" wrapText="1"/>
      <protection hidden="1"/>
    </xf>
    <xf numFmtId="2" fontId="40" fillId="4" borderId="30" xfId="0" applyNumberFormat="1" applyFont="1" applyFill="1" applyBorder="1" applyAlignment="1" applyProtection="1">
      <alignment horizontal="center" vertical="center" wrapText="1"/>
      <protection hidden="1"/>
    </xf>
    <xf numFmtId="0" fontId="6" fillId="14" borderId="2" xfId="0" applyFon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52" xfId="0" applyFont="1" applyFill="1" applyBorder="1" applyAlignment="1">
      <alignment horizontal="center" vertical="center"/>
    </xf>
    <xf numFmtId="1" fontId="6" fillId="14" borderId="52" xfId="0" applyNumberFormat="1" applyFont="1" applyFill="1" applyBorder="1" applyAlignment="1">
      <alignment horizontal="center" vertical="center"/>
    </xf>
    <xf numFmtId="1" fontId="50" fillId="18" borderId="48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11" borderId="8" xfId="0" applyFont="1" applyFill="1" applyBorder="1" applyAlignment="1">
      <alignment horizontal="center" vertical="center"/>
    </xf>
    <xf numFmtId="0" fontId="0" fillId="0" borderId="64" xfId="0" applyBorder="1"/>
    <xf numFmtId="0" fontId="7" fillId="0" borderId="46" xfId="0" applyFont="1" applyBorder="1"/>
    <xf numFmtId="0" fontId="6" fillId="11" borderId="64" xfId="0" applyFont="1" applyFill="1" applyBorder="1" applyAlignment="1">
      <alignment horizontal="center"/>
    </xf>
    <xf numFmtId="0" fontId="8" fillId="11" borderId="64" xfId="0" applyFont="1" applyFill="1" applyBorder="1" applyAlignment="1">
      <alignment horizontal="center" vertical="center" wrapText="1"/>
    </xf>
    <xf numFmtId="0" fontId="43" fillId="11" borderId="0" xfId="0" applyFont="1" applyFill="1" applyAlignment="1" applyProtection="1">
      <alignment horizontal="center"/>
      <protection hidden="1"/>
    </xf>
    <xf numFmtId="1" fontId="44" fillId="11" borderId="0" xfId="0" applyNumberFormat="1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33" xfId="0" applyFont="1" applyBorder="1" applyAlignment="1" applyProtection="1">
      <alignment horizontal="center" vertical="center"/>
      <protection hidden="1"/>
    </xf>
    <xf numFmtId="0" fontId="51" fillId="16" borderId="31" xfId="0" applyFont="1" applyFill="1" applyBorder="1" applyAlignment="1" applyProtection="1">
      <alignment horizontal="center" vertical="center"/>
      <protection hidden="1"/>
    </xf>
    <xf numFmtId="0" fontId="51" fillId="16" borderId="30" xfId="0" applyFont="1" applyFill="1" applyBorder="1" applyAlignment="1" applyProtection="1">
      <alignment horizontal="center" vertical="center"/>
      <protection hidden="1"/>
    </xf>
    <xf numFmtId="165" fontId="51" fillId="18" borderId="32" xfId="0" applyNumberFormat="1" applyFont="1" applyFill="1" applyBorder="1" applyAlignment="1" applyProtection="1">
      <alignment horizontal="center" vertical="center"/>
      <protection hidden="1"/>
    </xf>
    <xf numFmtId="165" fontId="33" fillId="3" borderId="31" xfId="0" applyNumberFormat="1" applyFont="1" applyFill="1" applyBorder="1" applyAlignment="1" applyProtection="1">
      <alignment horizontal="center" vertical="center"/>
      <protection hidden="1"/>
    </xf>
    <xf numFmtId="1" fontId="47" fillId="3" borderId="48" xfId="0" applyNumberFormat="1" applyFont="1" applyFill="1" applyBorder="1" applyAlignment="1" applyProtection="1">
      <alignment horizontal="center" vertical="center"/>
      <protection hidden="1"/>
    </xf>
    <xf numFmtId="165" fontId="33" fillId="7" borderId="31" xfId="0" applyNumberFormat="1" applyFont="1" applyFill="1" applyBorder="1" applyAlignment="1" applyProtection="1">
      <alignment horizontal="center" vertical="center"/>
      <protection hidden="1"/>
    </xf>
    <xf numFmtId="1" fontId="47" fillId="7" borderId="48" xfId="0" applyNumberFormat="1" applyFont="1" applyFill="1" applyBorder="1" applyAlignment="1" applyProtection="1">
      <alignment horizontal="center" vertical="center"/>
      <protection hidden="1"/>
    </xf>
    <xf numFmtId="1" fontId="47" fillId="6" borderId="48" xfId="0" applyNumberFormat="1" applyFont="1" applyFill="1" applyBorder="1" applyAlignment="1" applyProtection="1">
      <alignment horizontal="center" vertical="center"/>
      <protection hidden="1"/>
    </xf>
    <xf numFmtId="1" fontId="47" fillId="7" borderId="30" xfId="0" applyNumberFormat="1" applyFont="1" applyFill="1" applyBorder="1" applyAlignment="1" applyProtection="1">
      <alignment horizontal="center" vertical="center"/>
      <protection hidden="1"/>
    </xf>
    <xf numFmtId="165" fontId="33" fillId="6" borderId="31" xfId="0" applyNumberFormat="1" applyFont="1" applyFill="1" applyBorder="1" applyAlignment="1" applyProtection="1">
      <alignment horizontal="center" vertical="center"/>
      <protection hidden="1"/>
    </xf>
    <xf numFmtId="1" fontId="47" fillId="6" borderId="30" xfId="0" applyNumberFormat="1" applyFont="1" applyFill="1" applyBorder="1" applyAlignment="1" applyProtection="1">
      <alignment horizontal="center" vertical="center"/>
      <protection hidden="1"/>
    </xf>
    <xf numFmtId="0" fontId="18" fillId="14" borderId="39" xfId="0" applyFont="1" applyFill="1" applyBorder="1" applyAlignment="1" applyProtection="1">
      <alignment horizontal="center" vertical="center"/>
      <protection hidden="1"/>
    </xf>
    <xf numFmtId="0" fontId="18" fillId="14" borderId="4" xfId="0" applyFont="1" applyFill="1" applyBorder="1" applyAlignment="1" applyProtection="1">
      <alignment horizontal="center" vertical="center"/>
      <protection hidden="1"/>
    </xf>
    <xf numFmtId="0" fontId="10" fillId="14" borderId="2" xfId="0" applyFont="1" applyFill="1" applyBorder="1" applyAlignment="1" applyProtection="1">
      <alignment horizontal="center" vertical="center" wrapText="1"/>
      <protection hidden="1"/>
    </xf>
    <xf numFmtId="0" fontId="18" fillId="14" borderId="40" xfId="0" applyFont="1" applyFill="1" applyBorder="1" applyAlignment="1" applyProtection="1">
      <alignment horizontal="center" vertical="center"/>
      <protection hidden="1"/>
    </xf>
    <xf numFmtId="0" fontId="18" fillId="14" borderId="5" xfId="0" applyFont="1" applyFill="1" applyBorder="1" applyAlignment="1" applyProtection="1">
      <alignment horizontal="center" vertical="center"/>
      <protection hidden="1"/>
    </xf>
    <xf numFmtId="0" fontId="10" fillId="14" borderId="3" xfId="0" applyFont="1" applyFill="1" applyBorder="1" applyAlignment="1" applyProtection="1">
      <alignment horizontal="center" vertical="center" wrapText="1"/>
      <protection hidden="1"/>
    </xf>
    <xf numFmtId="0" fontId="51" fillId="18" borderId="30" xfId="0" applyFont="1" applyFill="1" applyBorder="1" applyAlignment="1" applyProtection="1">
      <alignment vertical="center"/>
      <protection hidden="1"/>
    </xf>
    <xf numFmtId="0" fontId="51" fillId="18" borderId="31" xfId="0" applyFont="1" applyFill="1" applyBorder="1" applyAlignment="1" applyProtection="1">
      <alignment horizontal="center" vertical="center"/>
      <protection hidden="1"/>
    </xf>
    <xf numFmtId="0" fontId="0" fillId="0" borderId="64" xfId="0" applyBorder="1" applyProtection="1">
      <protection hidden="1"/>
    </xf>
    <xf numFmtId="0" fontId="50" fillId="18" borderId="30" xfId="0" applyFont="1" applyFill="1" applyBorder="1" applyAlignment="1" applyProtection="1">
      <alignment horizontal="center" vertical="center"/>
      <protection hidden="1"/>
    </xf>
    <xf numFmtId="0" fontId="6" fillId="11" borderId="4" xfId="0" applyFont="1" applyFill="1" applyBorder="1" applyAlignment="1" applyProtection="1">
      <alignment horizontal="center" vertical="center" wrapText="1"/>
      <protection hidden="1"/>
    </xf>
    <xf numFmtId="0" fontId="10" fillId="14" borderId="36" xfId="0" applyFont="1" applyFill="1" applyBorder="1" applyAlignment="1" applyProtection="1">
      <alignment horizontal="center" vertical="center"/>
      <protection hidden="1"/>
    </xf>
    <xf numFmtId="0" fontId="10" fillId="14" borderId="1" xfId="0" applyFont="1" applyFill="1" applyBorder="1" applyAlignment="1" applyProtection="1">
      <alignment horizontal="center" vertical="center"/>
      <protection hidden="1"/>
    </xf>
    <xf numFmtId="0" fontId="10" fillId="14" borderId="39" xfId="0" applyFont="1" applyFill="1" applyBorder="1" applyAlignment="1" applyProtection="1">
      <alignment horizontal="center" vertical="center"/>
      <protection hidden="1"/>
    </xf>
    <xf numFmtId="0" fontId="10" fillId="14" borderId="2" xfId="0" applyFont="1" applyFill="1" applyBorder="1" applyAlignment="1" applyProtection="1">
      <alignment horizontal="center" vertical="center"/>
      <protection hidden="1"/>
    </xf>
    <xf numFmtId="0" fontId="10" fillId="14" borderId="40" xfId="0" applyFont="1" applyFill="1" applyBorder="1" applyAlignment="1" applyProtection="1">
      <alignment horizontal="center" vertical="center"/>
      <protection hidden="1"/>
    </xf>
    <xf numFmtId="0" fontId="10" fillId="14" borderId="3" xfId="0" applyFont="1" applyFill="1" applyBorder="1" applyAlignment="1" applyProtection="1">
      <alignment horizontal="center" vertical="center"/>
      <protection hidden="1"/>
    </xf>
    <xf numFmtId="0" fontId="51" fillId="18" borderId="30" xfId="0" applyFont="1" applyFill="1" applyBorder="1" applyAlignment="1" applyProtection="1">
      <alignment horizontal="center" vertical="center" wrapText="1"/>
      <protection hidden="1"/>
    </xf>
    <xf numFmtId="0" fontId="18" fillId="3" borderId="37" xfId="0" applyFont="1" applyFill="1" applyBorder="1" applyAlignment="1" applyProtection="1">
      <alignment horizontal="left" vertical="center"/>
      <protection hidden="1"/>
    </xf>
    <xf numFmtId="165" fontId="28" fillId="6" borderId="41" xfId="0" applyNumberFormat="1" applyFont="1" applyFill="1" applyBorder="1" applyAlignment="1" applyProtection="1">
      <alignment horizontal="center" vertical="center" wrapText="1"/>
      <protection hidden="1"/>
    </xf>
    <xf numFmtId="1" fontId="46" fillId="6" borderId="46" xfId="0" applyNumberFormat="1" applyFont="1" applyFill="1" applyBorder="1" applyAlignment="1" applyProtection="1">
      <alignment horizontal="center" vertical="center"/>
      <protection hidden="1"/>
    </xf>
    <xf numFmtId="0" fontId="6" fillId="6" borderId="33" xfId="0" applyFont="1" applyFill="1" applyBorder="1" applyAlignment="1" applyProtection="1">
      <alignment horizontal="center" vertical="center" wrapText="1"/>
      <protection hidden="1"/>
    </xf>
    <xf numFmtId="0" fontId="8" fillId="4" borderId="31" xfId="0" applyFont="1" applyFill="1" applyBorder="1" applyAlignment="1" applyProtection="1">
      <alignment horizontal="left" vertical="center"/>
      <protection hidden="1"/>
    </xf>
    <xf numFmtId="165" fontId="28" fillId="7" borderId="31" xfId="0" applyNumberFormat="1" applyFont="1" applyFill="1" applyBorder="1" applyAlignment="1" applyProtection="1">
      <alignment horizontal="center" vertical="center" wrapText="1"/>
      <protection hidden="1"/>
    </xf>
    <xf numFmtId="1" fontId="46" fillId="7" borderId="45" xfId="0" applyNumberFormat="1" applyFont="1" applyFill="1" applyBorder="1" applyAlignment="1" applyProtection="1">
      <alignment horizontal="center" vertical="center"/>
      <protection hidden="1"/>
    </xf>
    <xf numFmtId="165" fontId="28" fillId="6" borderId="31" xfId="0" applyNumberFormat="1" applyFont="1" applyFill="1" applyBorder="1" applyAlignment="1" applyProtection="1">
      <alignment horizontal="center" vertical="center" wrapText="1"/>
      <protection hidden="1"/>
    </xf>
    <xf numFmtId="1" fontId="46" fillId="6" borderId="45" xfId="0" applyNumberFormat="1" applyFont="1" applyFill="1" applyBorder="1" applyAlignment="1" applyProtection="1">
      <alignment horizontal="center" vertical="center"/>
      <protection hidden="1"/>
    </xf>
    <xf numFmtId="1" fontId="46" fillId="6" borderId="31" xfId="0" applyNumberFormat="1" applyFont="1" applyFill="1" applyBorder="1" applyAlignment="1" applyProtection="1">
      <alignment horizontal="center" vertical="center"/>
      <protection hidden="1"/>
    </xf>
    <xf numFmtId="0" fontId="46" fillId="12" borderId="30" xfId="0" applyFont="1" applyFill="1" applyBorder="1" applyAlignment="1" applyProtection="1">
      <alignment horizontal="center" vertical="center"/>
      <protection hidden="1"/>
    </xf>
    <xf numFmtId="1" fontId="57" fillId="12" borderId="30" xfId="0" applyNumberFormat="1" applyFont="1" applyFill="1" applyBorder="1" applyAlignment="1" applyProtection="1">
      <alignment horizontal="center" vertical="center"/>
      <protection hidden="1"/>
    </xf>
    <xf numFmtId="0" fontId="46" fillId="12" borderId="37" xfId="0" applyFont="1" applyFill="1" applyBorder="1" applyAlignment="1" applyProtection="1">
      <alignment horizontal="center" vertical="center"/>
      <protection hidden="1"/>
    </xf>
    <xf numFmtId="1" fontId="57" fillId="12" borderId="37" xfId="0" applyNumberFormat="1" applyFont="1" applyFill="1" applyBorder="1" applyAlignment="1" applyProtection="1">
      <alignment horizontal="center" vertical="center"/>
      <protection hidden="1"/>
    </xf>
    <xf numFmtId="0" fontId="7" fillId="6" borderId="38" xfId="0" applyFont="1" applyFill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7" fillId="6" borderId="33" xfId="0" applyFont="1" applyFill="1" applyBorder="1" applyAlignment="1" applyProtection="1">
      <alignment horizontal="center" vertical="center"/>
      <protection hidden="1"/>
    </xf>
    <xf numFmtId="0" fontId="7" fillId="8" borderId="1" xfId="0" applyFont="1" applyFill="1" applyBorder="1" applyAlignment="1" applyProtection="1">
      <alignment horizontal="center"/>
      <protection hidden="1"/>
    </xf>
    <xf numFmtId="0" fontId="7" fillId="7" borderId="39" xfId="0" applyFont="1" applyFill="1" applyBorder="1" applyAlignment="1" applyProtection="1">
      <alignment horizontal="center" vertical="center"/>
      <protection hidden="1"/>
    </xf>
    <xf numFmtId="0" fontId="7" fillId="7" borderId="2" xfId="0" applyFont="1" applyFill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8" borderId="2" xfId="0" applyFont="1" applyFill="1" applyBorder="1" applyAlignment="1" applyProtection="1">
      <alignment horizontal="center"/>
      <protection hidden="1"/>
    </xf>
    <xf numFmtId="0" fontId="7" fillId="6" borderId="39" xfId="0" applyFont="1" applyFill="1" applyBorder="1" applyAlignment="1" applyProtection="1">
      <alignment horizontal="center" vertical="center"/>
      <protection hidden="1"/>
    </xf>
    <xf numFmtId="0" fontId="7" fillId="6" borderId="2" xfId="0" applyFont="1" applyFill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/>
      <protection hidden="1"/>
    </xf>
    <xf numFmtId="0" fontId="7" fillId="7" borderId="2" xfId="0" applyFont="1" applyFill="1" applyBorder="1" applyAlignment="1" applyProtection="1">
      <alignment horizontal="center"/>
      <protection hidden="1"/>
    </xf>
    <xf numFmtId="0" fontId="7" fillId="6" borderId="2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40" xfId="0" applyFont="1" applyFill="1" applyBorder="1" applyAlignment="1" applyProtection="1">
      <alignment horizontal="center" vertical="center"/>
      <protection hidden="1"/>
    </xf>
    <xf numFmtId="0" fontId="7" fillId="6" borderId="42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73" fillId="0" borderId="0" xfId="2" applyProtection="1">
      <protection hidden="1"/>
    </xf>
    <xf numFmtId="0" fontId="73" fillId="0" borderId="0" xfId="2" applyAlignment="1" applyProtection="1">
      <alignment horizontal="center" vertical="center"/>
      <protection hidden="1"/>
    </xf>
    <xf numFmtId="0" fontId="78" fillId="0" borderId="0" xfId="2" applyFont="1" applyAlignment="1" applyProtection="1">
      <alignment horizontal="left" vertical="center" wrapText="1"/>
      <protection hidden="1"/>
    </xf>
    <xf numFmtId="0" fontId="79" fillId="0" borderId="0" xfId="2" applyFont="1" applyAlignment="1" applyProtection="1">
      <alignment horizontal="left" vertical="center" wrapText="1"/>
      <protection hidden="1"/>
    </xf>
    <xf numFmtId="0" fontId="78" fillId="17" borderId="23" xfId="2" applyFont="1" applyFill="1" applyBorder="1" applyAlignment="1" applyProtection="1">
      <alignment horizontal="left" vertical="center" wrapText="1"/>
      <protection hidden="1"/>
    </xf>
    <xf numFmtId="0" fontId="77" fillId="17" borderId="39" xfId="2" applyFont="1" applyFill="1" applyBorder="1" applyAlignment="1" applyProtection="1">
      <alignment horizontal="center" vertical="center" wrapText="1"/>
      <protection hidden="1"/>
    </xf>
    <xf numFmtId="0" fontId="79" fillId="17" borderId="9" xfId="2" applyFont="1" applyFill="1" applyBorder="1" applyAlignment="1" applyProtection="1">
      <alignment horizontal="left" vertical="center" wrapText="1"/>
      <protection hidden="1"/>
    </xf>
    <xf numFmtId="0" fontId="74" fillId="0" borderId="0" xfId="2" applyFont="1" applyAlignment="1" applyProtection="1">
      <alignment vertical="center" wrapText="1"/>
      <protection hidden="1"/>
    </xf>
    <xf numFmtId="0" fontId="74" fillId="0" borderId="0" xfId="2" applyFont="1" applyAlignment="1" applyProtection="1">
      <alignment horizontal="center" vertical="center" wrapText="1"/>
      <protection hidden="1"/>
    </xf>
    <xf numFmtId="0" fontId="74" fillId="0" borderId="0" xfId="2" applyFont="1" applyAlignment="1" applyProtection="1">
      <alignment horizontal="left" vertical="center" wrapText="1"/>
      <protection hidden="1"/>
    </xf>
    <xf numFmtId="0" fontId="78" fillId="21" borderId="64" xfId="2" applyFont="1" applyFill="1" applyBorder="1" applyAlignment="1" applyProtection="1">
      <alignment horizontal="left" vertical="center" wrapText="1"/>
      <protection hidden="1"/>
    </xf>
    <xf numFmtId="0" fontId="79" fillId="21" borderId="0" xfId="2" applyFont="1" applyFill="1" applyAlignment="1" applyProtection="1">
      <alignment horizontal="left" vertical="center" wrapText="1"/>
      <protection hidden="1"/>
    </xf>
    <xf numFmtId="0" fontId="79" fillId="18" borderId="23" xfId="2" applyFont="1" applyFill="1" applyBorder="1" applyAlignment="1" applyProtection="1">
      <alignment horizontal="left" vertical="center" wrapText="1"/>
      <protection hidden="1"/>
    </xf>
    <xf numFmtId="0" fontId="79" fillId="18" borderId="39" xfId="2" applyFont="1" applyFill="1" applyBorder="1" applyAlignment="1" applyProtection="1">
      <alignment horizontal="left" vertical="center" wrapText="1"/>
      <protection hidden="1"/>
    </xf>
    <xf numFmtId="0" fontId="79" fillId="18" borderId="9" xfId="2" applyFont="1" applyFill="1" applyBorder="1" applyAlignment="1" applyProtection="1">
      <alignment horizontal="left" vertical="center" wrapText="1"/>
      <protection hidden="1"/>
    </xf>
    <xf numFmtId="0" fontId="79" fillId="11" borderId="39" xfId="2" applyFont="1" applyFill="1" applyBorder="1" applyAlignment="1" applyProtection="1">
      <alignment horizontal="left" vertical="center" wrapText="1"/>
      <protection hidden="1"/>
    </xf>
    <xf numFmtId="0" fontId="79" fillId="11" borderId="38" xfId="2" applyFont="1" applyFill="1" applyBorder="1" applyAlignment="1" applyProtection="1">
      <alignment horizontal="left" vertical="center" wrapText="1"/>
      <protection hidden="1"/>
    </xf>
    <xf numFmtId="0" fontId="79" fillId="11" borderId="35" xfId="2" applyFont="1" applyFill="1" applyBorder="1" applyAlignment="1" applyProtection="1">
      <alignment horizontal="left" vertical="center" wrapText="1"/>
      <protection hidden="1"/>
    </xf>
    <xf numFmtId="0" fontId="82" fillId="11" borderId="8" xfId="2" applyFont="1" applyFill="1" applyBorder="1" applyAlignment="1" applyProtection="1">
      <alignment horizontal="right" vertical="center" wrapText="1"/>
      <protection hidden="1"/>
    </xf>
    <xf numFmtId="0" fontId="79" fillId="11" borderId="66" xfId="2" applyFont="1" applyFill="1" applyBorder="1" applyAlignment="1" applyProtection="1">
      <alignment horizontal="left" vertical="center" wrapText="1"/>
      <protection hidden="1"/>
    </xf>
    <xf numFmtId="0" fontId="79" fillId="11" borderId="0" xfId="2" applyFont="1" applyFill="1" applyAlignment="1" applyProtection="1">
      <alignment horizontal="left" vertical="center" wrapText="1"/>
      <protection hidden="1"/>
    </xf>
    <xf numFmtId="0" fontId="79" fillId="11" borderId="65" xfId="2" applyFont="1" applyFill="1" applyBorder="1" applyAlignment="1" applyProtection="1">
      <alignment horizontal="left" vertical="center" wrapText="1"/>
      <protection hidden="1"/>
    </xf>
    <xf numFmtId="0" fontId="74" fillId="11" borderId="47" xfId="2" applyFont="1" applyFill="1" applyBorder="1" applyAlignment="1" applyProtection="1">
      <alignment horizontal="left" vertical="center" wrapText="1"/>
      <protection hidden="1"/>
    </xf>
    <xf numFmtId="0" fontId="79" fillId="11" borderId="66" xfId="2" applyFont="1" applyFill="1" applyBorder="1" applyAlignment="1" applyProtection="1">
      <alignment horizontal="center" vertical="center" wrapText="1"/>
      <protection hidden="1"/>
    </xf>
    <xf numFmtId="0" fontId="79" fillId="11" borderId="0" xfId="2" applyFont="1" applyFill="1" applyAlignment="1" applyProtection="1">
      <alignment horizontal="center" vertical="center" wrapText="1"/>
      <protection hidden="1"/>
    </xf>
    <xf numFmtId="0" fontId="79" fillId="11" borderId="0" xfId="2" applyFont="1" applyFill="1" applyAlignment="1" applyProtection="1">
      <alignment vertical="center" wrapText="1"/>
      <protection hidden="1"/>
    </xf>
    <xf numFmtId="0" fontId="79" fillId="18" borderId="56" xfId="2" applyFont="1" applyFill="1" applyBorder="1" applyAlignment="1" applyProtection="1">
      <alignment vertical="center" wrapText="1"/>
      <protection hidden="1"/>
    </xf>
    <xf numFmtId="0" fontId="79" fillId="18" borderId="39" xfId="2" applyFont="1" applyFill="1" applyBorder="1" applyAlignment="1" applyProtection="1">
      <alignment vertical="center" wrapText="1"/>
      <protection hidden="1"/>
    </xf>
    <xf numFmtId="0" fontId="79" fillId="18" borderId="55" xfId="2" applyFont="1" applyFill="1" applyBorder="1" applyAlignment="1" applyProtection="1">
      <alignment vertical="center" wrapText="1"/>
      <protection hidden="1"/>
    </xf>
    <xf numFmtId="0" fontId="79" fillId="18" borderId="9" xfId="2" applyFont="1" applyFill="1" applyBorder="1" applyAlignment="1" applyProtection="1">
      <alignment vertical="center" wrapText="1"/>
      <protection hidden="1"/>
    </xf>
    <xf numFmtId="0" fontId="88" fillId="0" borderId="0" xfId="2" applyFont="1" applyAlignment="1" applyProtection="1">
      <alignment vertical="center" wrapText="1"/>
      <protection hidden="1"/>
    </xf>
    <xf numFmtId="0" fontId="90" fillId="11" borderId="8" xfId="2" applyFont="1" applyFill="1" applyBorder="1" applyAlignment="1" applyProtection="1">
      <alignment horizontal="left" vertical="center" wrapText="1"/>
      <protection hidden="1"/>
    </xf>
    <xf numFmtId="0" fontId="88" fillId="0" borderId="0" xfId="2" applyFont="1" applyAlignment="1" applyProtection="1">
      <alignment horizontal="center" vertical="center" wrapText="1"/>
      <protection hidden="1"/>
    </xf>
    <xf numFmtId="0" fontId="88" fillId="0" borderId="0" xfId="2" applyFont="1" applyAlignment="1" applyProtection="1">
      <alignment vertical="center" textRotation="90" wrapText="1"/>
      <protection hidden="1"/>
    </xf>
    <xf numFmtId="0" fontId="90" fillId="24" borderId="47" xfId="2" applyFont="1" applyFill="1" applyBorder="1" applyAlignment="1" applyProtection="1">
      <alignment horizontal="left" vertical="center" wrapText="1"/>
      <protection locked="0"/>
    </xf>
    <xf numFmtId="0" fontId="90" fillId="11" borderId="47" xfId="2" applyFont="1" applyFill="1" applyBorder="1" applyAlignment="1" applyProtection="1">
      <alignment horizontal="left" vertical="center" wrapText="1"/>
      <protection hidden="1"/>
    </xf>
    <xf numFmtId="0" fontId="79" fillId="21" borderId="0" xfId="2" applyFont="1" applyFill="1" applyAlignment="1" applyProtection="1">
      <alignment horizontal="center" vertical="center" wrapText="1"/>
      <protection hidden="1"/>
    </xf>
    <xf numFmtId="0" fontId="79" fillId="21" borderId="55" xfId="2" applyFont="1" applyFill="1" applyBorder="1" applyAlignment="1" applyProtection="1">
      <alignment vertical="center" wrapText="1"/>
      <protection hidden="1"/>
    </xf>
    <xf numFmtId="0" fontId="78" fillId="21" borderId="0" xfId="2" applyFont="1" applyFill="1" applyAlignment="1" applyProtection="1">
      <alignment horizontal="left" vertical="center" wrapText="1"/>
      <protection hidden="1"/>
    </xf>
    <xf numFmtId="0" fontId="90" fillId="14" borderId="8" xfId="2" applyFont="1" applyFill="1" applyBorder="1" applyAlignment="1" applyProtection="1">
      <alignment horizontal="center" vertical="center" wrapText="1"/>
      <protection hidden="1"/>
    </xf>
    <xf numFmtId="0" fontId="90" fillId="14" borderId="8" xfId="2" applyFont="1" applyFill="1" applyBorder="1" applyAlignment="1" applyProtection="1">
      <alignment horizontal="center" vertical="center"/>
      <protection hidden="1"/>
    </xf>
    <xf numFmtId="0" fontId="92" fillId="20" borderId="35" xfId="2" applyFont="1" applyFill="1" applyBorder="1" applyAlignment="1" applyProtection="1">
      <alignment horizontal="left" vertical="center" wrapText="1"/>
      <protection hidden="1"/>
    </xf>
    <xf numFmtId="0" fontId="74" fillId="11" borderId="20" xfId="2" applyFont="1" applyFill="1" applyBorder="1" applyAlignment="1" applyProtection="1">
      <alignment horizontal="left" vertical="center" wrapText="1"/>
      <protection hidden="1"/>
    </xf>
    <xf numFmtId="0" fontId="94" fillId="0" borderId="0" xfId="2" applyFont="1" applyAlignment="1" applyProtection="1">
      <alignment vertical="center" wrapText="1"/>
      <protection hidden="1"/>
    </xf>
    <xf numFmtId="0" fontId="74" fillId="11" borderId="8" xfId="2" applyFont="1" applyFill="1" applyBorder="1" applyAlignment="1" applyProtection="1">
      <alignment horizontal="left" vertical="center" wrapText="1"/>
      <protection hidden="1"/>
    </xf>
    <xf numFmtId="0" fontId="82" fillId="21" borderId="0" xfId="2" applyFont="1" applyFill="1" applyAlignment="1" applyProtection="1">
      <alignment vertical="center" wrapText="1"/>
      <protection hidden="1"/>
    </xf>
    <xf numFmtId="0" fontId="81" fillId="0" borderId="64" xfId="2" applyFont="1" applyBorder="1" applyAlignment="1" applyProtection="1">
      <alignment horizontal="left" vertical="center" wrapText="1"/>
      <protection hidden="1"/>
    </xf>
    <xf numFmtId="0" fontId="81" fillId="0" borderId="0" xfId="2" applyFont="1" applyAlignment="1" applyProtection="1">
      <alignment horizontal="left" vertical="center" wrapText="1"/>
      <protection hidden="1"/>
    </xf>
    <xf numFmtId="0" fontId="81" fillId="23" borderId="8" xfId="2" applyFont="1" applyFill="1" applyBorder="1" applyAlignment="1" applyProtection="1">
      <alignment horizontal="left" vertical="center" wrapText="1"/>
      <protection hidden="1"/>
    </xf>
    <xf numFmtId="0" fontId="81" fillId="11" borderId="0" xfId="2" applyFont="1" applyFill="1" applyAlignment="1" applyProtection="1">
      <alignment horizontal="left" vertical="center" wrapText="1"/>
      <protection hidden="1"/>
    </xf>
    <xf numFmtId="0" fontId="81" fillId="11" borderId="46" xfId="2" applyFont="1" applyFill="1" applyBorder="1" applyAlignment="1" applyProtection="1">
      <alignment horizontal="left" vertical="top"/>
      <protection hidden="1"/>
    </xf>
    <xf numFmtId="0" fontId="96" fillId="24" borderId="8" xfId="2" applyFont="1" applyFill="1" applyBorder="1" applyAlignment="1" applyProtection="1">
      <alignment horizontal="left" vertical="center" wrapText="1"/>
      <protection hidden="1"/>
    </xf>
    <xf numFmtId="0" fontId="81" fillId="11" borderId="46" xfId="2" applyFont="1" applyFill="1" applyBorder="1" applyAlignment="1" applyProtection="1">
      <alignment horizontal="left" vertical="center"/>
      <protection hidden="1"/>
    </xf>
    <xf numFmtId="0" fontId="73" fillId="0" borderId="8" xfId="2" applyBorder="1" applyAlignment="1" applyProtection="1">
      <alignment horizontal="center" vertical="center"/>
      <protection hidden="1"/>
    </xf>
    <xf numFmtId="0" fontId="73" fillId="0" borderId="64" xfId="2" applyBorder="1" applyProtection="1">
      <protection hidden="1"/>
    </xf>
    <xf numFmtId="0" fontId="9" fillId="11" borderId="0" xfId="2" applyFont="1" applyFill="1" applyAlignment="1" applyProtection="1">
      <alignment horizontal="center" vertical="center"/>
      <protection hidden="1"/>
    </xf>
    <xf numFmtId="0" fontId="9" fillId="11" borderId="46" xfId="2" applyFont="1" applyFill="1" applyBorder="1" applyAlignment="1" applyProtection="1">
      <alignment horizontal="center" vertical="center"/>
      <protection hidden="1"/>
    </xf>
    <xf numFmtId="0" fontId="74" fillId="0" borderId="0" xfId="2" applyFont="1" applyProtection="1">
      <protection hidden="1"/>
    </xf>
    <xf numFmtId="0" fontId="74" fillId="0" borderId="64" xfId="2" applyFont="1" applyBorder="1" applyProtection="1">
      <protection hidden="1"/>
    </xf>
    <xf numFmtId="0" fontId="72" fillId="0" borderId="8" xfId="2" applyFont="1" applyBorder="1" applyProtection="1">
      <protection hidden="1"/>
    </xf>
    <xf numFmtId="0" fontId="73" fillId="0" borderId="8" xfId="2" applyBorder="1" applyProtection="1">
      <protection hidden="1"/>
    </xf>
    <xf numFmtId="0" fontId="72" fillId="0" borderId="0" xfId="2" applyFont="1" applyProtection="1">
      <protection hidden="1"/>
    </xf>
    <xf numFmtId="0" fontId="97" fillId="0" borderId="0" xfId="2" applyFont="1" applyAlignment="1">
      <alignment horizontal="center" vertical="center"/>
    </xf>
    <xf numFmtId="0" fontId="73" fillId="0" borderId="9" xfId="2" applyBorder="1" applyProtection="1">
      <protection hidden="1"/>
    </xf>
    <xf numFmtId="0" fontId="73" fillId="0" borderId="8" xfId="2" applyBorder="1" applyAlignment="1" applyProtection="1">
      <alignment wrapText="1"/>
      <protection hidden="1"/>
    </xf>
    <xf numFmtId="0" fontId="73" fillId="0" borderId="0" xfId="2" applyAlignment="1" applyProtection="1">
      <alignment wrapText="1"/>
      <protection hidden="1"/>
    </xf>
    <xf numFmtId="0" fontId="73" fillId="0" borderId="8" xfId="2" applyBorder="1" applyAlignment="1" applyProtection="1">
      <alignment horizontal="center" vertical="center" wrapText="1"/>
      <protection hidden="1"/>
    </xf>
    <xf numFmtId="0" fontId="73" fillId="0" borderId="57" xfId="2" applyBorder="1" applyProtection="1">
      <protection hidden="1"/>
    </xf>
    <xf numFmtId="0" fontId="73" fillId="0" borderId="66" xfId="2" applyBorder="1" applyProtection="1">
      <protection hidden="1"/>
    </xf>
    <xf numFmtId="0" fontId="99" fillId="0" borderId="0" xfId="2" applyFont="1" applyProtection="1">
      <protection hidden="1"/>
    </xf>
    <xf numFmtId="0" fontId="100" fillId="0" borderId="0" xfId="2" applyFont="1" applyProtection="1">
      <protection hidden="1"/>
    </xf>
    <xf numFmtId="0" fontId="2" fillId="0" borderId="0" xfId="2" applyFont="1" applyProtection="1">
      <protection hidden="1"/>
    </xf>
    <xf numFmtId="0" fontId="74" fillId="11" borderId="0" xfId="2" applyFont="1" applyFill="1" applyAlignment="1" applyProtection="1">
      <alignment vertical="center" wrapText="1"/>
      <protection hidden="1"/>
    </xf>
    <xf numFmtId="0" fontId="79" fillId="0" borderId="8" xfId="2" applyFont="1" applyBorder="1" applyAlignment="1" applyProtection="1">
      <alignment horizontal="left" vertical="center" wrapText="1"/>
      <protection hidden="1"/>
    </xf>
    <xf numFmtId="0" fontId="73" fillId="25" borderId="23" xfId="2" applyFill="1" applyBorder="1" applyProtection="1">
      <protection hidden="1"/>
    </xf>
    <xf numFmtId="0" fontId="78" fillId="25" borderId="39" xfId="2" applyFont="1" applyFill="1" applyBorder="1" applyAlignment="1" applyProtection="1">
      <alignment horizontal="left" vertical="center" wrapText="1"/>
      <protection hidden="1"/>
    </xf>
    <xf numFmtId="0" fontId="101" fillId="25" borderId="39" xfId="2" applyFont="1" applyFill="1" applyBorder="1" applyAlignment="1" applyProtection="1">
      <alignment horizontal="center" vertical="center" wrapText="1"/>
      <protection hidden="1"/>
    </xf>
    <xf numFmtId="0" fontId="79" fillId="25" borderId="9" xfId="2" applyFont="1" applyFill="1" applyBorder="1" applyAlignment="1" applyProtection="1">
      <alignment horizontal="left" vertical="center" wrapText="1"/>
      <protection hidden="1"/>
    </xf>
    <xf numFmtId="0" fontId="73" fillId="21" borderId="57" xfId="2" applyFill="1" applyBorder="1" applyProtection="1">
      <protection hidden="1"/>
    </xf>
    <xf numFmtId="0" fontId="78" fillId="21" borderId="38" xfId="2" applyFont="1" applyFill="1" applyBorder="1" applyAlignment="1" applyProtection="1">
      <alignment horizontal="left" vertical="center" wrapText="1"/>
      <protection hidden="1"/>
    </xf>
    <xf numFmtId="0" fontId="79" fillId="21" borderId="35" xfId="2" applyFont="1" applyFill="1" applyBorder="1" applyAlignment="1" applyProtection="1">
      <alignment horizontal="left" vertical="center" wrapText="1"/>
      <protection hidden="1"/>
    </xf>
    <xf numFmtId="0" fontId="73" fillId="21" borderId="66" xfId="2" applyFill="1" applyBorder="1" applyProtection="1">
      <protection hidden="1"/>
    </xf>
    <xf numFmtId="0" fontId="79" fillId="21" borderId="65" xfId="2" applyFont="1" applyFill="1" applyBorder="1" applyAlignment="1" applyProtection="1">
      <alignment horizontal="left" vertical="center" wrapText="1"/>
      <protection hidden="1"/>
    </xf>
    <xf numFmtId="0" fontId="79" fillId="23" borderId="47" xfId="2" applyFont="1" applyFill="1" applyBorder="1" applyAlignment="1" applyProtection="1">
      <alignment horizontal="center" vertical="center" wrapText="1"/>
      <protection locked="0"/>
    </xf>
    <xf numFmtId="0" fontId="79" fillId="26" borderId="23" xfId="2" applyFont="1" applyFill="1" applyBorder="1" applyAlignment="1" applyProtection="1">
      <alignment horizontal="left" vertical="center" wrapText="1"/>
      <protection hidden="1"/>
    </xf>
    <xf numFmtId="0" fontId="79" fillId="26" borderId="39" xfId="2" applyFont="1" applyFill="1" applyBorder="1" applyAlignment="1" applyProtection="1">
      <alignment horizontal="left" vertical="center" wrapText="1"/>
      <protection hidden="1"/>
    </xf>
    <xf numFmtId="0" fontId="79" fillId="26" borderId="9" xfId="2" applyFont="1" applyFill="1" applyBorder="1" applyAlignment="1" applyProtection="1">
      <alignment horizontal="left" vertical="center" wrapText="1"/>
      <protection hidden="1"/>
    </xf>
    <xf numFmtId="0" fontId="103" fillId="0" borderId="8" xfId="2" applyFont="1" applyBorder="1" applyAlignment="1" applyProtection="1">
      <alignment horizontal="center" vertical="center" wrapText="1"/>
      <protection hidden="1"/>
    </xf>
    <xf numFmtId="0" fontId="79" fillId="26" borderId="56" xfId="2" applyFont="1" applyFill="1" applyBorder="1" applyAlignment="1" applyProtection="1">
      <alignment horizontal="left" vertical="center" wrapText="1"/>
      <protection hidden="1"/>
    </xf>
    <xf numFmtId="0" fontId="79" fillId="26" borderId="55" xfId="2" applyFont="1" applyFill="1" applyBorder="1" applyAlignment="1" applyProtection="1">
      <alignment horizontal="left" vertical="center" wrapText="1"/>
      <protection hidden="1"/>
    </xf>
    <xf numFmtId="0" fontId="79" fillId="26" borderId="56" xfId="2" applyFont="1" applyFill="1" applyBorder="1" applyAlignment="1" applyProtection="1">
      <alignment vertical="center" wrapText="1"/>
      <protection hidden="1"/>
    </xf>
    <xf numFmtId="0" fontId="79" fillId="26" borderId="55" xfId="2" applyFont="1" applyFill="1" applyBorder="1" applyAlignment="1" applyProtection="1">
      <alignment vertical="center" wrapText="1"/>
      <protection hidden="1"/>
    </xf>
    <xf numFmtId="0" fontId="79" fillId="26" borderId="39" xfId="2" applyFont="1" applyFill="1" applyBorder="1" applyAlignment="1" applyProtection="1">
      <alignment vertical="center" wrapText="1"/>
      <protection hidden="1"/>
    </xf>
    <xf numFmtId="0" fontId="79" fillId="26" borderId="9" xfId="2" applyFont="1" applyFill="1" applyBorder="1" applyAlignment="1" applyProtection="1">
      <alignment vertical="center" wrapText="1"/>
      <protection hidden="1"/>
    </xf>
    <xf numFmtId="0" fontId="79" fillId="11" borderId="56" xfId="2" applyFont="1" applyFill="1" applyBorder="1" applyAlignment="1" applyProtection="1">
      <alignment horizontal="center" vertical="center" wrapText="1"/>
      <protection hidden="1"/>
    </xf>
    <xf numFmtId="0" fontId="79" fillId="11" borderId="55" xfId="2" applyFont="1" applyFill="1" applyBorder="1" applyAlignment="1" applyProtection="1">
      <alignment horizontal="center" vertical="center" wrapText="1"/>
      <protection hidden="1"/>
    </xf>
    <xf numFmtId="0" fontId="79" fillId="11" borderId="55" xfId="2" applyFont="1" applyFill="1" applyBorder="1" applyAlignment="1" applyProtection="1">
      <alignment vertical="center" wrapText="1"/>
      <protection hidden="1"/>
    </xf>
    <xf numFmtId="0" fontId="79" fillId="26" borderId="23" xfId="2" applyFont="1" applyFill="1" applyBorder="1" applyAlignment="1" applyProtection="1">
      <alignment vertical="center" wrapText="1"/>
      <protection hidden="1"/>
    </xf>
    <xf numFmtId="0" fontId="102" fillId="11" borderId="0" xfId="2" applyFont="1" applyFill="1" applyAlignment="1" applyProtection="1">
      <alignment horizontal="left" vertical="center" wrapText="1"/>
      <protection hidden="1"/>
    </xf>
    <xf numFmtId="0" fontId="102" fillId="11" borderId="0" xfId="2" applyFont="1" applyFill="1" applyAlignment="1" applyProtection="1">
      <alignment horizontal="left" vertical="center"/>
      <protection hidden="1"/>
    </xf>
    <xf numFmtId="0" fontId="79" fillId="24" borderId="20" xfId="2" applyFont="1" applyFill="1" applyBorder="1" applyAlignment="1" applyProtection="1">
      <alignment horizontal="center" vertical="center" wrapText="1"/>
      <protection locked="0"/>
    </xf>
    <xf numFmtId="0" fontId="82" fillId="11" borderId="0" xfId="2" applyFont="1" applyFill="1" applyAlignment="1" applyProtection="1">
      <alignment vertical="center" wrapText="1"/>
      <protection hidden="1"/>
    </xf>
    <xf numFmtId="0" fontId="77" fillId="27" borderId="20" xfId="2" applyFont="1" applyFill="1" applyBorder="1" applyAlignment="1" applyProtection="1">
      <alignment horizontal="center" vertical="center" wrapText="1"/>
      <protection hidden="1"/>
    </xf>
    <xf numFmtId="0" fontId="79" fillId="21" borderId="0" xfId="2" applyFont="1" applyFill="1" applyAlignment="1" applyProtection="1">
      <alignment vertical="center" wrapText="1"/>
      <protection hidden="1"/>
    </xf>
    <xf numFmtId="0" fontId="89" fillId="0" borderId="8" xfId="2" applyFont="1" applyBorder="1" applyAlignment="1" applyProtection="1">
      <alignment horizontal="left" vertical="center" wrapText="1"/>
      <protection hidden="1"/>
    </xf>
    <xf numFmtId="0" fontId="89" fillId="20" borderId="8" xfId="2" applyFont="1" applyFill="1" applyBorder="1" applyAlignment="1" applyProtection="1">
      <alignment horizontal="center" vertical="center" wrapText="1"/>
      <protection hidden="1"/>
    </xf>
    <xf numFmtId="0" fontId="78" fillId="21" borderId="65" xfId="2" applyFont="1" applyFill="1" applyBorder="1" applyAlignment="1" applyProtection="1">
      <alignment horizontal="left" vertical="center" wrapText="1"/>
      <protection hidden="1"/>
    </xf>
    <xf numFmtId="0" fontId="77" fillId="27" borderId="9" xfId="2" applyFont="1" applyFill="1" applyBorder="1" applyAlignment="1" applyProtection="1">
      <alignment horizontal="center" vertical="center" wrapText="1"/>
      <protection hidden="1"/>
    </xf>
    <xf numFmtId="0" fontId="78" fillId="21" borderId="55" xfId="2" applyFont="1" applyFill="1" applyBorder="1" applyAlignment="1" applyProtection="1">
      <alignment horizontal="left" vertical="center" wrapText="1"/>
      <protection hidden="1"/>
    </xf>
    <xf numFmtId="0" fontId="82" fillId="21" borderId="55" xfId="2" applyFont="1" applyFill="1" applyBorder="1" applyAlignment="1" applyProtection="1">
      <alignment vertical="center" wrapText="1"/>
      <protection hidden="1"/>
    </xf>
    <xf numFmtId="0" fontId="78" fillId="21" borderId="21" xfId="2" applyFont="1" applyFill="1" applyBorder="1" applyAlignment="1" applyProtection="1">
      <alignment horizontal="left" vertical="center" wrapText="1"/>
      <protection hidden="1"/>
    </xf>
    <xf numFmtId="0" fontId="9" fillId="2" borderId="0" xfId="2" applyFont="1" applyFill="1" applyAlignment="1" applyProtection="1">
      <alignment horizontal="center" vertical="center"/>
      <protection hidden="1"/>
    </xf>
    <xf numFmtId="0" fontId="73" fillId="0" borderId="0" xfId="2" applyAlignment="1" applyProtection="1">
      <alignment vertical="center"/>
      <protection hidden="1"/>
    </xf>
    <xf numFmtId="0" fontId="108" fillId="11" borderId="0" xfId="2" applyFont="1" applyFill="1" applyAlignment="1" applyProtection="1">
      <alignment vertical="center" wrapText="1"/>
      <protection hidden="1"/>
    </xf>
    <xf numFmtId="0" fontId="51" fillId="18" borderId="3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79" fillId="23" borderId="8" xfId="2" applyFont="1" applyFill="1" applyBorder="1" applyAlignment="1" applyProtection="1">
      <alignment horizontal="center" vertical="center" wrapText="1"/>
      <protection locked="0"/>
    </xf>
    <xf numFmtId="0" fontId="89" fillId="24" borderId="8" xfId="2" applyFont="1" applyFill="1" applyBorder="1" applyAlignment="1" applyProtection="1">
      <alignment horizontal="center" vertical="center" wrapText="1"/>
      <protection locked="0"/>
    </xf>
    <xf numFmtId="0" fontId="77" fillId="17" borderId="39" xfId="2" applyFont="1" applyFill="1" applyBorder="1" applyAlignment="1" applyProtection="1">
      <alignment horizontal="left" vertical="center" wrapText="1"/>
      <protection hidden="1"/>
    </xf>
    <xf numFmtId="0" fontId="79" fillId="25" borderId="39" xfId="2" applyFont="1" applyFill="1" applyBorder="1" applyAlignment="1" applyProtection="1">
      <alignment horizontal="left" vertical="center" wrapText="1"/>
      <protection hidden="1"/>
    </xf>
    <xf numFmtId="0" fontId="78" fillId="21" borderId="46" xfId="2" applyFont="1" applyFill="1" applyBorder="1" applyAlignment="1" applyProtection="1">
      <alignment horizontal="left" vertical="center" wrapText="1"/>
      <protection hidden="1"/>
    </xf>
    <xf numFmtId="0" fontId="78" fillId="21" borderId="27" xfId="2" applyFont="1" applyFill="1" applyBorder="1" applyAlignment="1" applyProtection="1">
      <alignment horizontal="left" vertical="center" wrapText="1"/>
      <protection hidden="1"/>
    </xf>
    <xf numFmtId="0" fontId="74" fillId="21" borderId="38" xfId="2" applyFont="1" applyFill="1" applyBorder="1" applyAlignment="1" applyProtection="1">
      <alignment horizontal="left" vertical="center" wrapText="1"/>
      <protection hidden="1"/>
    </xf>
    <xf numFmtId="0" fontId="74" fillId="21" borderId="38" xfId="2" applyFont="1" applyFill="1" applyBorder="1" applyAlignment="1" applyProtection="1">
      <alignment horizontal="center" vertical="center" wrapText="1"/>
      <protection hidden="1"/>
    </xf>
    <xf numFmtId="0" fontId="74" fillId="21" borderId="38" xfId="2" applyFont="1" applyFill="1" applyBorder="1" applyAlignment="1" applyProtection="1">
      <alignment vertical="center" wrapText="1"/>
      <protection hidden="1"/>
    </xf>
    <xf numFmtId="0" fontId="79" fillId="21" borderId="38" xfId="2" applyFont="1" applyFill="1" applyBorder="1" applyAlignment="1" applyProtection="1">
      <alignment horizontal="left" vertical="center" wrapText="1"/>
      <protection hidden="1"/>
    </xf>
    <xf numFmtId="0" fontId="94" fillId="21" borderId="0" xfId="2" applyFont="1" applyFill="1" applyAlignment="1" applyProtection="1">
      <alignment vertical="center" wrapText="1"/>
      <protection hidden="1"/>
    </xf>
    <xf numFmtId="0" fontId="88" fillId="21" borderId="0" xfId="2" applyFont="1" applyFill="1" applyAlignment="1" applyProtection="1">
      <alignment vertical="center" textRotation="180" wrapText="1"/>
      <protection hidden="1"/>
    </xf>
    <xf numFmtId="0" fontId="88" fillId="21" borderId="0" xfId="2" applyFont="1" applyFill="1" applyAlignment="1" applyProtection="1">
      <alignment vertical="center" wrapText="1"/>
      <protection hidden="1"/>
    </xf>
    <xf numFmtId="0" fontId="73" fillId="28" borderId="56" xfId="2" applyFill="1" applyBorder="1" applyProtection="1">
      <protection hidden="1"/>
    </xf>
    <xf numFmtId="0" fontId="9" fillId="2" borderId="65" xfId="2" applyFont="1" applyFill="1" applyBorder="1" applyAlignment="1" applyProtection="1">
      <alignment horizontal="center" vertical="center"/>
      <protection hidden="1"/>
    </xf>
    <xf numFmtId="0" fontId="78" fillId="21" borderId="35" xfId="2" applyFont="1" applyFill="1" applyBorder="1" applyAlignment="1" applyProtection="1">
      <alignment horizontal="left" vertical="center" wrapText="1"/>
      <protection hidden="1"/>
    </xf>
    <xf numFmtId="0" fontId="112" fillId="0" borderId="65" xfId="2" applyFont="1" applyBorder="1" applyAlignment="1" applyProtection="1">
      <alignment horizontal="left" vertical="center"/>
      <protection hidden="1"/>
    </xf>
    <xf numFmtId="0" fontId="112" fillId="0" borderId="0" xfId="2" applyFont="1" applyAlignment="1" applyProtection="1">
      <alignment horizontal="left" vertical="center" wrapText="1"/>
      <protection hidden="1"/>
    </xf>
    <xf numFmtId="0" fontId="112" fillId="10" borderId="8" xfId="2" applyFont="1" applyFill="1" applyBorder="1" applyAlignment="1" applyProtection="1">
      <alignment horizontal="left" vertical="center" wrapText="1"/>
      <protection hidden="1"/>
    </xf>
    <xf numFmtId="0" fontId="112" fillId="11" borderId="0" xfId="2" applyFont="1" applyFill="1" applyAlignment="1" applyProtection="1">
      <alignment horizontal="left" vertical="center" wrapText="1"/>
      <protection hidden="1"/>
    </xf>
    <xf numFmtId="0" fontId="112" fillId="0" borderId="65" xfId="2" applyFont="1" applyBorder="1" applyAlignment="1" applyProtection="1">
      <alignment horizontal="left" vertical="top"/>
      <protection hidden="1"/>
    </xf>
    <xf numFmtId="0" fontId="112" fillId="23" borderId="8" xfId="2" applyFont="1" applyFill="1" applyBorder="1" applyAlignment="1" applyProtection="1">
      <alignment horizontal="left" vertical="center" wrapText="1"/>
      <protection hidden="1"/>
    </xf>
    <xf numFmtId="2" fontId="40" fillId="6" borderId="30" xfId="0" applyNumberFormat="1" applyFont="1" applyFill="1" applyBorder="1" applyAlignment="1" applyProtection="1">
      <alignment horizontal="center" vertical="center" wrapText="1"/>
      <protection hidden="1"/>
    </xf>
    <xf numFmtId="1" fontId="45" fillId="11" borderId="0" xfId="0" applyNumberFormat="1" applyFont="1" applyFill="1" applyAlignment="1">
      <alignment horizontal="center" vertical="center"/>
    </xf>
    <xf numFmtId="2" fontId="40" fillId="11" borderId="0" xfId="0" applyNumberFormat="1" applyFont="1" applyFill="1" applyAlignment="1" applyProtection="1">
      <alignment horizontal="center" vertical="center" wrapText="1"/>
      <protection hidden="1"/>
    </xf>
    <xf numFmtId="1" fontId="21" fillId="11" borderId="0" xfId="0" applyNumberFormat="1" applyFont="1" applyFill="1" applyAlignment="1" applyProtection="1">
      <alignment horizontal="center" vertical="center"/>
      <protection hidden="1"/>
    </xf>
    <xf numFmtId="0" fontId="6" fillId="11" borderId="0" xfId="0" applyFont="1" applyFill="1" applyAlignment="1" applyProtection="1">
      <alignment horizontal="center" vertical="center" wrapText="1"/>
      <protection hidden="1"/>
    </xf>
    <xf numFmtId="2" fontId="6" fillId="11" borderId="0" xfId="0" applyNumberFormat="1" applyFont="1" applyFill="1" applyAlignment="1" applyProtection="1">
      <alignment horizontal="center" vertical="center" wrapText="1"/>
      <protection hidden="1"/>
    </xf>
    <xf numFmtId="0" fontId="6" fillId="3" borderId="37" xfId="0" applyFont="1" applyFill="1" applyBorder="1" applyAlignment="1" applyProtection="1">
      <alignment horizontal="left" vertical="center" wrapText="1"/>
      <protection hidden="1"/>
    </xf>
    <xf numFmtId="0" fontId="50" fillId="18" borderId="51" xfId="0" applyFont="1" applyFill="1" applyBorder="1" applyAlignment="1" applyProtection="1">
      <alignment horizontal="center" vertical="center"/>
      <protection hidden="1"/>
    </xf>
    <xf numFmtId="0" fontId="51" fillId="16" borderId="32" xfId="0" applyFont="1" applyFill="1" applyBorder="1" applyAlignment="1" applyProtection="1">
      <alignment horizontal="center" vertical="center" wrapText="1"/>
      <protection hidden="1"/>
    </xf>
    <xf numFmtId="0" fontId="6" fillId="7" borderId="33" xfId="0" applyFont="1" applyFill="1" applyBorder="1" applyAlignment="1" applyProtection="1">
      <alignment horizontal="center" vertical="center" wrapText="1"/>
      <protection hidden="1"/>
    </xf>
    <xf numFmtId="1" fontId="46" fillId="7" borderId="31" xfId="0" applyNumberFormat="1" applyFont="1" applyFill="1" applyBorder="1" applyAlignment="1" applyProtection="1">
      <alignment horizontal="center" vertical="center"/>
      <protection hidden="1"/>
    </xf>
    <xf numFmtId="0" fontId="115" fillId="0" borderId="0" xfId="0" applyFont="1" applyAlignment="1">
      <alignment vertical="center"/>
    </xf>
    <xf numFmtId="0" fontId="18" fillId="3" borderId="38" xfId="0" applyFont="1" applyFill="1" applyBorder="1" applyAlignment="1" applyProtection="1">
      <alignment horizontal="center" vertical="center"/>
      <protection hidden="1"/>
    </xf>
    <xf numFmtId="0" fontId="18" fillId="3" borderId="27" xfId="0" applyFont="1" applyFill="1" applyBorder="1" applyAlignment="1" applyProtection="1">
      <alignment horizontal="center" vertical="center"/>
      <protection hidden="1"/>
    </xf>
    <xf numFmtId="0" fontId="36" fillId="6" borderId="33" xfId="0" applyFont="1" applyFill="1" applyBorder="1" applyAlignment="1" applyProtection="1">
      <alignment horizontal="center" vertical="center" wrapText="1"/>
      <protection hidden="1"/>
    </xf>
    <xf numFmtId="0" fontId="0" fillId="0" borderId="66" xfId="0" applyBorder="1" applyProtection="1">
      <protection hidden="1"/>
    </xf>
    <xf numFmtId="0" fontId="6" fillId="3" borderId="35" xfId="0" applyFont="1" applyFill="1" applyBorder="1" applyAlignment="1" applyProtection="1">
      <alignment horizontal="center" vertical="center" wrapText="1"/>
      <protection hidden="1"/>
    </xf>
    <xf numFmtId="0" fontId="115" fillId="0" borderId="65" xfId="0" applyFont="1" applyBorder="1" applyAlignment="1">
      <alignment vertical="center"/>
    </xf>
    <xf numFmtId="0" fontId="18" fillId="0" borderId="66" xfId="0" applyFont="1" applyBorder="1" applyAlignment="1">
      <alignment horizontal="center" vertical="center"/>
    </xf>
    <xf numFmtId="1" fontId="45" fillId="12" borderId="30" xfId="0" applyNumberFormat="1" applyFont="1" applyFill="1" applyBorder="1" applyAlignment="1" applyProtection="1">
      <alignment horizontal="center" vertical="center"/>
      <protection locked="0"/>
    </xf>
    <xf numFmtId="1" fontId="45" fillId="13" borderId="30" xfId="0" applyNumberFormat="1" applyFont="1" applyFill="1" applyBorder="1" applyAlignment="1" applyProtection="1">
      <alignment horizontal="center" vertical="center"/>
      <protection locked="0"/>
    </xf>
    <xf numFmtId="0" fontId="16" fillId="11" borderId="0" xfId="0" applyFont="1" applyFill="1" applyProtection="1">
      <protection hidden="1"/>
    </xf>
    <xf numFmtId="0" fontId="117" fillId="11" borderId="0" xfId="3" applyFont="1" applyFill="1" applyBorder="1" applyProtection="1">
      <protection hidden="1"/>
    </xf>
    <xf numFmtId="0" fontId="16" fillId="0" borderId="0" xfId="0" applyFont="1" applyProtection="1">
      <protection hidden="1"/>
    </xf>
    <xf numFmtId="1" fontId="58" fillId="12" borderId="30" xfId="0" applyNumberFormat="1" applyFont="1" applyFill="1" applyBorder="1" applyAlignment="1" applyProtection="1">
      <alignment horizontal="center" vertical="center"/>
      <protection locked="0"/>
    </xf>
    <xf numFmtId="1" fontId="58" fillId="12" borderId="37" xfId="0" applyNumberFormat="1" applyFont="1" applyFill="1" applyBorder="1" applyAlignment="1" applyProtection="1">
      <alignment horizontal="center" vertical="center"/>
      <protection locked="0"/>
    </xf>
    <xf numFmtId="1" fontId="59" fillId="12" borderId="37" xfId="0" applyNumberFormat="1" applyFont="1" applyFill="1" applyBorder="1" applyAlignment="1" applyProtection="1">
      <alignment horizontal="center" vertical="center"/>
      <protection locked="0"/>
    </xf>
    <xf numFmtId="1" fontId="59" fillId="12" borderId="41" xfId="0" applyNumberFormat="1" applyFont="1" applyFill="1" applyBorder="1" applyAlignment="1" applyProtection="1">
      <alignment horizontal="center" vertical="center"/>
      <protection locked="0"/>
    </xf>
    <xf numFmtId="1" fontId="58" fillId="13" borderId="30" xfId="0" applyNumberFormat="1" applyFont="1" applyFill="1" applyBorder="1" applyAlignment="1" applyProtection="1">
      <alignment horizontal="center" vertical="center"/>
      <protection locked="0"/>
    </xf>
    <xf numFmtId="1" fontId="59" fillId="13" borderId="30" xfId="0" applyNumberFormat="1" applyFont="1" applyFill="1" applyBorder="1" applyAlignment="1" applyProtection="1">
      <alignment horizontal="center" vertical="center"/>
      <protection locked="0"/>
    </xf>
    <xf numFmtId="1" fontId="59" fillId="13" borderId="31" xfId="0" applyNumberFormat="1" applyFont="1" applyFill="1" applyBorder="1" applyAlignment="1" applyProtection="1">
      <alignment horizontal="center" vertical="center"/>
      <protection locked="0"/>
    </xf>
    <xf numFmtId="1" fontId="59" fillId="12" borderId="30" xfId="0" applyNumberFormat="1" applyFont="1" applyFill="1" applyBorder="1" applyAlignment="1" applyProtection="1">
      <alignment horizontal="center" vertical="center"/>
      <protection locked="0"/>
    </xf>
    <xf numFmtId="1" fontId="59" fillId="12" borderId="31" xfId="0" applyNumberFormat="1" applyFont="1" applyFill="1" applyBorder="1" applyAlignment="1" applyProtection="1">
      <alignment horizontal="center" vertical="center"/>
      <protection locked="0"/>
    </xf>
    <xf numFmtId="1" fontId="59" fillId="13" borderId="34" xfId="0" applyNumberFormat="1" applyFont="1" applyFill="1" applyBorder="1" applyAlignment="1" applyProtection="1">
      <alignment horizontal="center" vertical="center"/>
      <protection locked="0"/>
    </xf>
    <xf numFmtId="1" fontId="59" fillId="13" borderId="46" xfId="0" applyNumberFormat="1" applyFont="1" applyFill="1" applyBorder="1" applyAlignment="1" applyProtection="1">
      <alignment horizontal="center" vertical="center"/>
      <protection locked="0"/>
    </xf>
    <xf numFmtId="0" fontId="120" fillId="31" borderId="30" xfId="3" applyFont="1" applyFill="1" applyBorder="1" applyAlignment="1" applyProtection="1">
      <alignment horizontal="center" vertical="center"/>
      <protection locked="0"/>
    </xf>
    <xf numFmtId="0" fontId="123" fillId="31" borderId="30" xfId="3" applyFont="1" applyFill="1" applyBorder="1" applyAlignment="1" applyProtection="1">
      <alignment horizontal="center" vertical="center"/>
      <protection locked="0"/>
    </xf>
    <xf numFmtId="0" fontId="124" fillId="31" borderId="30" xfId="3" applyFont="1" applyFill="1" applyBorder="1" applyAlignment="1" applyProtection="1">
      <alignment horizontal="center" vertical="center"/>
      <protection locked="0"/>
    </xf>
    <xf numFmtId="0" fontId="121" fillId="31" borderId="30" xfId="3" applyFont="1" applyFill="1" applyBorder="1" applyAlignment="1" applyProtection="1">
      <alignment horizontal="center" vertical="center"/>
      <protection locked="0"/>
    </xf>
    <xf numFmtId="4" fontId="73" fillId="0" borderId="0" xfId="2" applyNumberFormat="1" applyProtection="1">
      <protection hidden="1"/>
    </xf>
    <xf numFmtId="2" fontId="73" fillId="0" borderId="0" xfId="2" applyNumberFormat="1" applyProtection="1">
      <protection hidden="1"/>
    </xf>
    <xf numFmtId="0" fontId="90" fillId="24" borderId="47" xfId="2" applyFont="1" applyFill="1" applyBorder="1" applyAlignment="1" applyProtection="1">
      <alignment horizontal="center" vertical="center" wrapText="1"/>
      <protection locked="0"/>
    </xf>
    <xf numFmtId="0" fontId="127" fillId="11" borderId="0" xfId="3" applyFont="1" applyFill="1" applyBorder="1" applyProtection="1">
      <protection hidden="1"/>
    </xf>
    <xf numFmtId="0" fontId="127" fillId="11" borderId="0" xfId="0" applyFont="1" applyFill="1" applyProtection="1">
      <protection hidden="1"/>
    </xf>
    <xf numFmtId="0" fontId="128" fillId="0" borderId="0" xfId="0" applyFont="1" applyProtection="1">
      <protection hidden="1"/>
    </xf>
    <xf numFmtId="0" fontId="128" fillId="0" borderId="72" xfId="0" applyFont="1" applyBorder="1" applyProtection="1">
      <protection hidden="1"/>
    </xf>
    <xf numFmtId="0" fontId="128" fillId="0" borderId="71" xfId="0" applyFont="1" applyBorder="1" applyProtection="1">
      <protection hidden="1"/>
    </xf>
    <xf numFmtId="0" fontId="128" fillId="0" borderId="74" xfId="0" applyFont="1" applyBorder="1" applyProtection="1">
      <protection hidden="1"/>
    </xf>
    <xf numFmtId="0" fontId="127" fillId="0" borderId="0" xfId="0" applyFont="1" applyProtection="1">
      <protection hidden="1"/>
    </xf>
    <xf numFmtId="0" fontId="130" fillId="0" borderId="0" xfId="0" applyFont="1" applyProtection="1">
      <protection hidden="1"/>
    </xf>
    <xf numFmtId="0" fontId="130" fillId="0" borderId="72" xfId="0" applyFont="1" applyBorder="1" applyProtection="1">
      <protection hidden="1"/>
    </xf>
    <xf numFmtId="0" fontId="130" fillId="0" borderId="0" xfId="0" applyFont="1"/>
    <xf numFmtId="0" fontId="73" fillId="0" borderId="0" xfId="2"/>
    <xf numFmtId="0" fontId="132" fillId="0" borderId="8" xfId="2" applyFont="1" applyBorder="1" applyAlignment="1">
      <alignment horizontal="center" vertical="center"/>
    </xf>
    <xf numFmtId="0" fontId="134" fillId="0" borderId="8" xfId="2" applyFont="1" applyBorder="1" applyAlignment="1" applyProtection="1">
      <alignment horizontal="center" vertical="center"/>
      <protection hidden="1"/>
    </xf>
    <xf numFmtId="0" fontId="133" fillId="0" borderId="8" xfId="2" applyFont="1" applyBorder="1" applyAlignment="1" applyProtection="1">
      <alignment horizontal="center" vertical="center"/>
      <protection hidden="1"/>
    </xf>
    <xf numFmtId="0" fontId="132" fillId="0" borderId="0" xfId="2" applyFont="1" applyAlignment="1">
      <alignment horizontal="center" vertical="center"/>
    </xf>
    <xf numFmtId="0" fontId="134" fillId="0" borderId="8" xfId="2" applyFont="1" applyBorder="1" applyAlignment="1">
      <alignment horizontal="center" vertical="center"/>
    </xf>
    <xf numFmtId="0" fontId="133" fillId="0" borderId="8" xfId="2" applyFont="1" applyBorder="1" applyAlignment="1">
      <alignment horizontal="center" vertical="center"/>
    </xf>
    <xf numFmtId="0" fontId="38" fillId="31" borderId="30" xfId="3" applyFont="1" applyFill="1" applyBorder="1" applyAlignment="1" applyProtection="1">
      <alignment horizontal="center" vertical="center"/>
      <protection locked="0"/>
    </xf>
    <xf numFmtId="0" fontId="50" fillId="18" borderId="48" xfId="0" applyFont="1" applyFill="1" applyBorder="1" applyAlignment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  <protection locked="0" hidden="1"/>
    </xf>
    <xf numFmtId="0" fontId="6" fillId="7" borderId="4" xfId="0" applyFont="1" applyFill="1" applyBorder="1" applyAlignment="1" applyProtection="1">
      <alignment horizontal="center" vertical="center"/>
      <protection locked="0" hidden="1"/>
    </xf>
    <xf numFmtId="0" fontId="6" fillId="6" borderId="4" xfId="0" applyFont="1" applyFill="1" applyBorder="1" applyAlignment="1" applyProtection="1">
      <alignment horizontal="center" vertical="center"/>
      <protection locked="0" hidden="1"/>
    </xf>
    <xf numFmtId="0" fontId="6" fillId="10" borderId="5" xfId="0" applyFont="1" applyFill="1" applyBorder="1" applyAlignment="1" applyProtection="1">
      <alignment horizontal="center" vertical="center"/>
      <protection locked="0" hidden="1"/>
    </xf>
    <xf numFmtId="0" fontId="6" fillId="10" borderId="1" xfId="0" applyFont="1" applyFill="1" applyBorder="1" applyAlignment="1" applyProtection="1">
      <alignment horizontal="center" vertical="center"/>
      <protection locked="0" hidden="1"/>
    </xf>
    <xf numFmtId="0" fontId="6" fillId="10" borderId="2" xfId="0" applyFont="1" applyFill="1" applyBorder="1" applyAlignment="1" applyProtection="1">
      <alignment horizontal="center" vertical="center"/>
      <protection locked="0" hidden="1"/>
    </xf>
    <xf numFmtId="0" fontId="6" fillId="10" borderId="37" xfId="0" applyFont="1" applyFill="1" applyBorder="1" applyAlignment="1" applyProtection="1">
      <alignment horizontal="center" vertical="center"/>
      <protection locked="0" hidden="1"/>
    </xf>
    <xf numFmtId="0" fontId="6" fillId="6" borderId="1" xfId="0" applyFont="1" applyFill="1" applyBorder="1" applyAlignment="1" applyProtection="1">
      <alignment horizontal="center" vertical="center"/>
      <protection locked="0" hidden="1"/>
    </xf>
    <xf numFmtId="0" fontId="6" fillId="7" borderId="2" xfId="0" applyFont="1" applyFill="1" applyBorder="1" applyAlignment="1" applyProtection="1">
      <alignment horizontal="center" vertical="center"/>
      <protection locked="0" hidden="1"/>
    </xf>
    <xf numFmtId="0" fontId="6" fillId="6" borderId="2" xfId="0" applyFont="1" applyFill="1" applyBorder="1" applyAlignment="1" applyProtection="1">
      <alignment horizontal="center" vertical="center"/>
      <protection locked="0" hidden="1"/>
    </xf>
    <xf numFmtId="0" fontId="6" fillId="10" borderId="3" xfId="0" applyFont="1" applyFill="1" applyBorder="1" applyAlignment="1" applyProtection="1">
      <alignment horizontal="center" vertical="center"/>
      <protection locked="0" hidden="1"/>
    </xf>
    <xf numFmtId="0" fontId="120" fillId="31" borderId="51" xfId="3" applyFont="1" applyFill="1" applyBorder="1" applyAlignment="1">
      <alignment horizontal="center" vertical="center"/>
    </xf>
    <xf numFmtId="0" fontId="131" fillId="20" borderId="8" xfId="2" applyFont="1" applyFill="1" applyBorder="1" applyAlignment="1">
      <alignment horizontal="center" vertical="center"/>
    </xf>
    <xf numFmtId="0" fontId="131" fillId="20" borderId="8" xfId="2" applyFont="1" applyFill="1" applyBorder="1" applyAlignment="1">
      <alignment horizontal="center" vertical="center" wrapText="1"/>
    </xf>
    <xf numFmtId="0" fontId="133" fillId="32" borderId="8" xfId="2" applyFont="1" applyFill="1" applyBorder="1" applyAlignment="1" applyProtection="1">
      <alignment horizontal="center" vertical="center"/>
      <protection locked="0" hidden="1"/>
    </xf>
    <xf numFmtId="0" fontId="73" fillId="0" borderId="80" xfId="2" applyBorder="1"/>
    <xf numFmtId="0" fontId="73" fillId="0" borderId="81" xfId="2" applyBorder="1"/>
    <xf numFmtId="0" fontId="73" fillId="0" borderId="82" xfId="2" applyBorder="1"/>
    <xf numFmtId="0" fontId="73" fillId="0" borderId="83" xfId="2" applyBorder="1"/>
    <xf numFmtId="0" fontId="73" fillId="0" borderId="86" xfId="2" applyBorder="1"/>
    <xf numFmtId="0" fontId="73" fillId="0" borderId="84" xfId="2" applyBorder="1"/>
    <xf numFmtId="0" fontId="73" fillId="0" borderId="87" xfId="2" applyBorder="1"/>
    <xf numFmtId="0" fontId="73" fillId="0" borderId="85" xfId="2" applyBorder="1"/>
    <xf numFmtId="0" fontId="133" fillId="33" borderId="8" xfId="2" applyFont="1" applyFill="1" applyBorder="1" applyAlignment="1" applyProtection="1">
      <alignment horizontal="center" vertical="center"/>
      <protection locked="0" hidden="1"/>
    </xf>
    <xf numFmtId="0" fontId="51" fillId="18" borderId="51" xfId="0" applyFont="1" applyFill="1" applyBorder="1" applyAlignment="1" applyProtection="1">
      <alignment horizontal="center" vertical="center"/>
      <protection hidden="1"/>
    </xf>
    <xf numFmtId="165" fontId="20" fillId="4" borderId="30" xfId="0" applyNumberFormat="1" applyFont="1" applyFill="1" applyBorder="1" applyAlignment="1" applyProtection="1">
      <alignment horizontal="center" vertical="center" wrapText="1"/>
      <protection hidden="1"/>
    </xf>
    <xf numFmtId="1" fontId="135" fillId="4" borderId="30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7" fillId="11" borderId="0" xfId="0" applyFont="1" applyFill="1" applyAlignment="1" applyProtection="1">
      <alignment wrapText="1"/>
      <protection hidden="1"/>
    </xf>
    <xf numFmtId="0" fontId="51" fillId="18" borderId="60" xfId="0" applyFont="1" applyFill="1" applyBorder="1" applyAlignment="1" applyProtection="1">
      <alignment horizontal="center" vertical="center"/>
      <protection hidden="1"/>
    </xf>
    <xf numFmtId="0" fontId="51" fillId="18" borderId="37" xfId="0" applyFont="1" applyFill="1" applyBorder="1" applyAlignment="1" applyProtection="1">
      <alignment horizontal="center" vertical="center"/>
      <protection hidden="1"/>
    </xf>
    <xf numFmtId="0" fontId="51" fillId="18" borderId="41" xfId="0" applyFont="1" applyFill="1" applyBorder="1" applyAlignment="1" applyProtection="1">
      <alignment horizontal="center" vertical="center"/>
      <protection hidden="1"/>
    </xf>
    <xf numFmtId="1" fontId="51" fillId="16" borderId="30" xfId="0" applyNumberFormat="1" applyFont="1" applyFill="1" applyBorder="1" applyAlignment="1" applyProtection="1">
      <alignment horizontal="center" vertical="center"/>
      <protection hidden="1"/>
    </xf>
    <xf numFmtId="1" fontId="57" fillId="12" borderId="31" xfId="0" applyNumberFormat="1" applyFont="1" applyFill="1" applyBorder="1" applyAlignment="1" applyProtection="1">
      <alignment horizontal="center" vertical="center"/>
      <protection hidden="1"/>
    </xf>
    <xf numFmtId="165" fontId="12" fillId="6" borderId="30" xfId="0" applyNumberFormat="1" applyFont="1" applyFill="1" applyBorder="1" applyAlignment="1" applyProtection="1">
      <alignment horizontal="center" vertical="center" wrapText="1"/>
      <protection hidden="1"/>
    </xf>
    <xf numFmtId="165" fontId="12" fillId="3" borderId="37" xfId="0" applyNumberFormat="1" applyFont="1" applyFill="1" applyBorder="1" applyAlignment="1" applyProtection="1">
      <alignment horizontal="center" vertical="center" wrapText="1"/>
      <protection hidden="1"/>
    </xf>
    <xf numFmtId="1" fontId="57" fillId="12" borderId="41" xfId="0" applyNumberFormat="1" applyFont="1" applyFill="1" applyBorder="1" applyAlignment="1" applyProtection="1">
      <alignment horizontal="center" vertical="center"/>
      <protection hidden="1"/>
    </xf>
    <xf numFmtId="165" fontId="12" fillId="6" borderId="37" xfId="0" applyNumberFormat="1" applyFont="1" applyFill="1" applyBorder="1" applyAlignment="1" applyProtection="1">
      <alignment horizontal="center" vertical="center" wrapText="1"/>
      <protection hidden="1"/>
    </xf>
    <xf numFmtId="0" fontId="38" fillId="6" borderId="33" xfId="0" applyFont="1" applyFill="1" applyBorder="1" applyAlignment="1" applyProtection="1">
      <alignment horizontal="center" vertical="center" wrapText="1"/>
      <protection hidden="1"/>
    </xf>
    <xf numFmtId="0" fontId="38" fillId="6" borderId="61" xfId="0" applyFont="1" applyFill="1" applyBorder="1" applyAlignment="1" applyProtection="1">
      <alignment horizontal="center" vertical="center" wrapText="1"/>
      <protection hidden="1"/>
    </xf>
    <xf numFmtId="2" fontId="51" fillId="18" borderId="3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8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7" xfId="0" applyBorder="1" applyProtection="1">
      <protection hidden="1"/>
    </xf>
    <xf numFmtId="0" fontId="4" fillId="0" borderId="0" xfId="0" applyFont="1" applyAlignment="1">
      <alignment horizontal="center" vertical="center"/>
    </xf>
    <xf numFmtId="1" fontId="45" fillId="12" borderId="51" xfId="0" applyNumberFormat="1" applyFont="1" applyFill="1" applyBorder="1" applyAlignment="1" applyProtection="1">
      <alignment horizontal="center" vertical="center"/>
      <protection locked="0"/>
    </xf>
    <xf numFmtId="1" fontId="45" fillId="13" borderId="51" xfId="0" applyNumberFormat="1" applyFont="1" applyFill="1" applyBorder="1" applyAlignment="1" applyProtection="1">
      <alignment horizontal="center" vertical="center"/>
      <protection locked="0"/>
    </xf>
    <xf numFmtId="0" fontId="50" fillId="16" borderId="48" xfId="0" applyFont="1" applyFill="1" applyBorder="1" applyAlignment="1" applyProtection="1">
      <alignment horizontal="center" vertical="center" wrapText="1"/>
      <protection hidden="1"/>
    </xf>
    <xf numFmtId="0" fontId="137" fillId="16" borderId="30" xfId="0" applyFont="1" applyFill="1" applyBorder="1" applyAlignment="1" applyProtection="1">
      <alignment horizontal="center" vertical="center" wrapText="1"/>
      <protection hidden="1"/>
    </xf>
    <xf numFmtId="1" fontId="137" fillId="16" borderId="32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38" xfId="0" applyFont="1" applyFill="1" applyBorder="1" applyAlignment="1" applyProtection="1">
      <alignment horizontal="center" vertical="center" wrapText="1"/>
      <protection hidden="1"/>
    </xf>
    <xf numFmtId="0" fontId="6" fillId="11" borderId="39" xfId="0" applyFont="1" applyFill="1" applyBorder="1" applyAlignment="1" applyProtection="1">
      <alignment horizontal="center" vertical="center" wrapText="1"/>
      <protection hidden="1"/>
    </xf>
    <xf numFmtId="0" fontId="51" fillId="18" borderId="31" xfId="0" applyFont="1" applyFill="1" applyBorder="1" applyAlignment="1" applyProtection="1">
      <alignment vertical="center"/>
      <protection hidden="1"/>
    </xf>
    <xf numFmtId="0" fontId="6" fillId="11" borderId="40" xfId="0" applyFont="1" applyFill="1" applyBorder="1" applyAlignment="1" applyProtection="1">
      <alignment horizontal="center" vertical="center" wrapText="1"/>
      <protection hidden="1"/>
    </xf>
    <xf numFmtId="1" fontId="138" fillId="13" borderId="30" xfId="0" applyNumberFormat="1" applyFont="1" applyFill="1" applyBorder="1" applyAlignment="1" applyProtection="1">
      <alignment horizontal="center" vertical="center"/>
      <protection locked="0"/>
    </xf>
    <xf numFmtId="1" fontId="45" fillId="13" borderId="48" xfId="0" applyNumberFormat="1" applyFont="1" applyFill="1" applyBorder="1" applyAlignment="1" applyProtection="1">
      <alignment horizontal="center" vertical="center"/>
      <protection locked="0"/>
    </xf>
    <xf numFmtId="1" fontId="50" fillId="16" borderId="53" xfId="0" applyNumberFormat="1" applyFont="1" applyFill="1" applyBorder="1" applyAlignment="1">
      <alignment horizontal="center" vertical="center"/>
    </xf>
    <xf numFmtId="1" fontId="50" fillId="16" borderId="48" xfId="0" applyNumberFormat="1" applyFont="1" applyFill="1" applyBorder="1" applyAlignment="1">
      <alignment horizontal="center" vertical="center"/>
    </xf>
    <xf numFmtId="1" fontId="50" fillId="16" borderId="28" xfId="0" applyNumberFormat="1" applyFont="1" applyFill="1" applyBorder="1" applyAlignment="1">
      <alignment horizontal="center" vertical="center" wrapText="1"/>
    </xf>
    <xf numFmtId="2" fontId="50" fillId="18" borderId="28" xfId="0" applyNumberFormat="1" applyFont="1" applyFill="1" applyBorder="1" applyAlignment="1">
      <alignment horizontal="center" vertical="center" wrapText="1"/>
    </xf>
    <xf numFmtId="164" fontId="50" fillId="18" borderId="48" xfId="0" applyNumberFormat="1" applyFont="1" applyFill="1" applyBorder="1" applyAlignment="1">
      <alignment horizontal="center" vertical="center"/>
    </xf>
    <xf numFmtId="0" fontId="50" fillId="18" borderId="53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2" fontId="6" fillId="6" borderId="43" xfId="0" applyNumberFormat="1" applyFont="1" applyFill="1" applyBorder="1" applyAlignment="1" applyProtection="1">
      <alignment horizontal="center" vertical="center" wrapText="1"/>
      <protection hidden="1"/>
    </xf>
    <xf numFmtId="1" fontId="138" fillId="12" borderId="37" xfId="0" applyNumberFormat="1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 wrapText="1"/>
      <protection hidden="1"/>
    </xf>
    <xf numFmtId="0" fontId="18" fillId="3" borderId="47" xfId="0" applyFont="1" applyFill="1" applyBorder="1" applyAlignment="1" applyProtection="1">
      <alignment horizontal="center" vertical="center"/>
      <protection hidden="1"/>
    </xf>
    <xf numFmtId="0" fontId="51" fillId="16" borderId="58" xfId="0" applyFont="1" applyFill="1" applyBorder="1" applyAlignment="1" applyProtection="1">
      <alignment horizontal="center" vertical="center"/>
      <protection hidden="1"/>
    </xf>
    <xf numFmtId="0" fontId="51" fillId="16" borderId="58" xfId="0" applyFont="1" applyFill="1" applyBorder="1" applyAlignment="1" applyProtection="1">
      <alignment horizontal="center" vertical="center" wrapText="1"/>
      <protection hidden="1"/>
    </xf>
    <xf numFmtId="165" fontId="51" fillId="18" borderId="58" xfId="0" applyNumberFormat="1" applyFont="1" applyFill="1" applyBorder="1" applyAlignment="1" applyProtection="1">
      <alignment horizontal="center" vertical="center"/>
      <protection hidden="1"/>
    </xf>
    <xf numFmtId="0" fontId="46" fillId="12" borderId="30" xfId="0" applyFont="1" applyFill="1" applyBorder="1" applyAlignment="1" applyProtection="1">
      <alignment horizontal="center" vertical="center"/>
      <protection locked="0"/>
    </xf>
    <xf numFmtId="1" fontId="57" fillId="12" borderId="32" xfId="0" applyNumberFormat="1" applyFont="1" applyFill="1" applyBorder="1" applyAlignment="1" applyProtection="1">
      <alignment horizontal="center" vertical="center"/>
      <protection locked="0"/>
    </xf>
    <xf numFmtId="1" fontId="57" fillId="12" borderId="30" xfId="0" applyNumberFormat="1" applyFont="1" applyFill="1" applyBorder="1" applyAlignment="1" applyProtection="1">
      <alignment horizontal="center" vertical="center"/>
      <protection locked="0"/>
    </xf>
    <xf numFmtId="165" fontId="17" fillId="6" borderId="32" xfId="0" applyNumberFormat="1" applyFont="1" applyFill="1" applyBorder="1" applyAlignment="1" applyProtection="1">
      <alignment horizontal="center" vertical="center" wrapText="1"/>
      <protection hidden="1"/>
    </xf>
    <xf numFmtId="1" fontId="57" fillId="15" borderId="30" xfId="0" applyNumberFormat="1" applyFont="1" applyFill="1" applyBorder="1" applyAlignment="1" applyProtection="1">
      <alignment horizontal="center" vertical="center"/>
      <protection locked="0"/>
    </xf>
    <xf numFmtId="0" fontId="46" fillId="15" borderId="48" xfId="0" applyFont="1" applyFill="1" applyBorder="1" applyAlignment="1" applyProtection="1">
      <alignment horizontal="center" vertical="center"/>
      <protection locked="0"/>
    </xf>
    <xf numFmtId="1" fontId="57" fillId="15" borderId="0" xfId="0" applyNumberFormat="1" applyFont="1" applyFill="1" applyAlignment="1" applyProtection="1">
      <alignment horizontal="center" vertical="center"/>
      <protection locked="0"/>
    </xf>
    <xf numFmtId="1" fontId="57" fillId="15" borderId="48" xfId="0" applyNumberFormat="1" applyFont="1" applyFill="1" applyBorder="1" applyAlignment="1" applyProtection="1">
      <alignment horizontal="center" vertical="center"/>
      <protection locked="0"/>
    </xf>
    <xf numFmtId="1" fontId="42" fillId="7" borderId="0" xfId="0" applyNumberFormat="1" applyFont="1" applyFill="1" applyAlignment="1" applyProtection="1">
      <alignment horizontal="center" vertical="center"/>
      <protection hidden="1"/>
    </xf>
    <xf numFmtId="165" fontId="17" fillId="6" borderId="30" xfId="0" applyNumberFormat="1" applyFont="1" applyFill="1" applyBorder="1" applyAlignment="1" applyProtection="1">
      <alignment horizontal="center" vertical="center" wrapText="1"/>
      <protection hidden="1"/>
    </xf>
    <xf numFmtId="0" fontId="46" fillId="12" borderId="31" xfId="0" applyFont="1" applyFill="1" applyBorder="1" applyAlignment="1" applyProtection="1">
      <alignment horizontal="center" vertical="center"/>
      <protection locked="0"/>
    </xf>
    <xf numFmtId="1" fontId="42" fillId="6" borderId="32" xfId="0" applyNumberFormat="1" applyFont="1" applyFill="1" applyBorder="1" applyAlignment="1" applyProtection="1">
      <alignment horizontal="center" vertical="center"/>
      <protection hidden="1"/>
    </xf>
    <xf numFmtId="165" fontId="17" fillId="7" borderId="30" xfId="0" applyNumberFormat="1" applyFont="1" applyFill="1" applyBorder="1" applyAlignment="1" applyProtection="1">
      <alignment horizontal="center" vertical="center" wrapText="1"/>
      <protection hidden="1"/>
    </xf>
    <xf numFmtId="1" fontId="42" fillId="7" borderId="32" xfId="0" applyNumberFormat="1" applyFont="1" applyFill="1" applyBorder="1" applyAlignment="1" applyProtection="1">
      <alignment horizontal="center" vertical="center"/>
      <protection hidden="1"/>
    </xf>
    <xf numFmtId="0" fontId="138" fillId="12" borderId="30" xfId="0" applyFont="1" applyFill="1" applyBorder="1" applyAlignment="1" applyProtection="1">
      <alignment horizontal="center" vertical="center"/>
      <protection locked="0"/>
    </xf>
    <xf numFmtId="0" fontId="138" fillId="15" borderId="48" xfId="0" applyFont="1" applyFill="1" applyBorder="1" applyAlignment="1" applyProtection="1">
      <alignment horizontal="center" vertical="center"/>
      <protection locked="0"/>
    </xf>
    <xf numFmtId="0" fontId="139" fillId="12" borderId="30" xfId="0" applyFont="1" applyFill="1" applyBorder="1" applyAlignment="1" applyProtection="1">
      <alignment horizontal="center" vertical="center"/>
      <protection locked="0"/>
    </xf>
    <xf numFmtId="0" fontId="139" fillId="15" borderId="48" xfId="0" applyFont="1" applyFill="1" applyBorder="1" applyAlignment="1" applyProtection="1">
      <alignment horizontal="center" vertical="center"/>
      <protection locked="0"/>
    </xf>
    <xf numFmtId="0" fontId="140" fillId="12" borderId="30" xfId="0" applyFont="1" applyFill="1" applyBorder="1" applyAlignment="1" applyProtection="1">
      <alignment horizontal="center" vertical="center"/>
      <protection locked="0"/>
    </xf>
    <xf numFmtId="0" fontId="140" fillId="15" borderId="48" xfId="0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34" fillId="0" borderId="0" xfId="0" applyFont="1" applyAlignment="1">
      <alignment horizontal="right" vertical="center" textRotation="90" wrapText="1"/>
    </xf>
    <xf numFmtId="0" fontId="8" fillId="0" borderId="0" xfId="0" applyFont="1" applyAlignment="1">
      <alignment horizontal="right" textRotation="90" wrapText="1"/>
    </xf>
    <xf numFmtId="0" fontId="142" fillId="11" borderId="0" xfId="0" applyFont="1" applyFill="1" applyAlignment="1">
      <alignment horizontal="right" vertical="center" textRotation="90" wrapText="1"/>
    </xf>
    <xf numFmtId="0" fontId="141" fillId="0" borderId="0" xfId="0" applyFont="1"/>
    <xf numFmtId="0" fontId="141" fillId="0" borderId="8" xfId="0" applyFont="1" applyBorder="1" applyAlignment="1">
      <alignment horizontal="center"/>
    </xf>
    <xf numFmtId="0" fontId="25" fillId="11" borderId="0" xfId="0" applyFont="1" applyFill="1" applyAlignment="1">
      <alignment horizont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0" borderId="0" xfId="1"/>
    <xf numFmtId="0" fontId="67" fillId="11" borderId="0" xfId="1" applyFont="1" applyFill="1" applyAlignment="1" applyProtection="1">
      <alignment horizontal="center" vertical="center"/>
      <protection hidden="1"/>
    </xf>
    <xf numFmtId="0" fontId="7" fillId="0" borderId="0" xfId="1" applyProtection="1">
      <protection hidden="1"/>
    </xf>
    <xf numFmtId="1" fontId="51" fillId="16" borderId="48" xfId="1" applyNumberFormat="1" applyFont="1" applyFill="1" applyBorder="1" applyAlignment="1" applyProtection="1">
      <alignment horizontal="center" vertical="center" wrapText="1"/>
      <protection hidden="1"/>
    </xf>
    <xf numFmtId="1" fontId="51" fillId="16" borderId="48" xfId="1" applyNumberFormat="1" applyFont="1" applyFill="1" applyBorder="1" applyAlignment="1" applyProtection="1">
      <alignment horizontal="center" vertical="center"/>
      <protection hidden="1"/>
    </xf>
    <xf numFmtId="0" fontId="7" fillId="0" borderId="45" xfId="1" applyBorder="1" applyProtection="1">
      <protection hidden="1"/>
    </xf>
    <xf numFmtId="0" fontId="7" fillId="0" borderId="53" xfId="1" applyBorder="1" applyProtection="1">
      <protection hidden="1"/>
    </xf>
    <xf numFmtId="0" fontId="18" fillId="3" borderId="30" xfId="1" applyFont="1" applyFill="1" applyBorder="1" applyAlignment="1" applyProtection="1">
      <alignment vertical="center" wrapText="1"/>
      <protection hidden="1"/>
    </xf>
    <xf numFmtId="1" fontId="138" fillId="12" borderId="51" xfId="1" applyNumberFormat="1" applyFont="1" applyFill="1" applyBorder="1" applyAlignment="1" applyProtection="1">
      <alignment horizontal="center" vertical="center"/>
      <protection locked="0" hidden="1"/>
    </xf>
    <xf numFmtId="1" fontId="63" fillId="12" borderId="30" xfId="1" applyNumberFormat="1" applyFont="1" applyFill="1" applyBorder="1" applyAlignment="1" applyProtection="1">
      <alignment horizontal="center" vertical="center"/>
      <protection locked="0" hidden="1"/>
    </xf>
    <xf numFmtId="1" fontId="118" fillId="12" borderId="31" xfId="1" applyNumberFormat="1" applyFont="1" applyFill="1" applyBorder="1" applyAlignment="1" applyProtection="1">
      <alignment horizontal="center" vertical="center"/>
      <protection locked="0" hidden="1"/>
    </xf>
    <xf numFmtId="0" fontId="16" fillId="0" borderId="46" xfId="1" applyFont="1" applyBorder="1" applyProtection="1">
      <protection hidden="1"/>
    </xf>
    <xf numFmtId="0" fontId="16" fillId="0" borderId="64" xfId="1" applyFont="1" applyBorder="1" applyProtection="1">
      <protection hidden="1"/>
    </xf>
    <xf numFmtId="1" fontId="138" fillId="15" borderId="30" xfId="1" applyNumberFormat="1" applyFont="1" applyFill="1" applyBorder="1" applyAlignment="1" applyProtection="1">
      <alignment horizontal="center" vertical="center"/>
      <protection locked="0" hidden="1"/>
    </xf>
    <xf numFmtId="1" fontId="63" fillId="15" borderId="34" xfId="1" applyNumberFormat="1" applyFont="1" applyFill="1" applyBorder="1" applyAlignment="1" applyProtection="1">
      <alignment horizontal="center" vertical="center"/>
      <protection locked="0" hidden="1"/>
    </xf>
    <xf numFmtId="0" fontId="7" fillId="0" borderId="46" xfId="1" applyBorder="1" applyProtection="1">
      <protection hidden="1"/>
    </xf>
    <xf numFmtId="0" fontId="7" fillId="0" borderId="64" xfId="1" applyBorder="1" applyProtection="1">
      <protection hidden="1"/>
    </xf>
    <xf numFmtId="0" fontId="7" fillId="0" borderId="41" xfId="1" applyBorder="1" applyProtection="1">
      <protection hidden="1"/>
    </xf>
    <xf numFmtId="0" fontId="7" fillId="0" borderId="60" xfId="1" applyBorder="1" applyProtection="1">
      <protection hidden="1"/>
    </xf>
    <xf numFmtId="0" fontId="115" fillId="11" borderId="0" xfId="1" applyFont="1" applyFill="1" applyProtection="1">
      <protection hidden="1"/>
    </xf>
    <xf numFmtId="0" fontId="11" fillId="0" borderId="0" xfId="1" applyFont="1" applyProtection="1">
      <protection hidden="1"/>
    </xf>
    <xf numFmtId="0" fontId="144" fillId="0" borderId="0" xfId="1" applyFont="1" applyAlignment="1">
      <alignment horizontal="center" vertical="center"/>
    </xf>
    <xf numFmtId="165" fontId="7" fillId="0" borderId="0" xfId="1" applyNumberFormat="1"/>
    <xf numFmtId="0" fontId="7" fillId="11" borderId="0" xfId="1" applyFill="1"/>
    <xf numFmtId="0" fontId="115" fillId="0" borderId="0" xfId="1" applyFont="1"/>
    <xf numFmtId="0" fontId="7" fillId="0" borderId="0" xfId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vertical="center" wrapText="1"/>
    </xf>
    <xf numFmtId="1" fontId="56" fillId="16" borderId="30" xfId="0" applyNumberFormat="1" applyFont="1" applyFill="1" applyBorder="1" applyAlignment="1" applyProtection="1">
      <alignment horizontal="center" vertical="center"/>
      <protection locked="0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/>
    <xf numFmtId="0" fontId="4" fillId="3" borderId="0" xfId="0" applyFont="1" applyFill="1" applyAlignment="1">
      <alignment horizontal="center" vertical="center" wrapText="1"/>
    </xf>
    <xf numFmtId="0" fontId="4" fillId="0" borderId="46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38" fillId="0" borderId="0" xfId="0" applyFont="1"/>
    <xf numFmtId="0" fontId="4" fillId="0" borderId="0" xfId="0" applyFont="1"/>
    <xf numFmtId="0" fontId="3" fillId="11" borderId="0" xfId="0" applyFont="1" applyFill="1" applyAlignment="1">
      <alignment horizontal="center" vertical="center"/>
    </xf>
    <xf numFmtId="164" fontId="0" fillId="11" borderId="0" xfId="0" applyNumberFormat="1" applyFill="1"/>
    <xf numFmtId="0" fontId="0" fillId="11" borderId="0" xfId="0" applyFill="1"/>
    <xf numFmtId="0" fontId="146" fillId="11" borderId="46" xfId="0" applyFont="1" applyFill="1" applyBorder="1" applyAlignment="1">
      <alignment horizontal="right" textRotation="90" wrapText="1"/>
    </xf>
    <xf numFmtId="0" fontId="147" fillId="11" borderId="46" xfId="0" applyFont="1" applyFill="1" applyBorder="1" applyAlignment="1">
      <alignment horizontal="right" textRotation="90" wrapText="1"/>
    </xf>
    <xf numFmtId="0" fontId="7" fillId="11" borderId="46" xfId="0" applyFont="1" applyFill="1" applyBorder="1"/>
    <xf numFmtId="0" fontId="4" fillId="11" borderId="46" xfId="0" applyFont="1" applyFill="1" applyBorder="1" applyAlignment="1">
      <alignment vertical="center"/>
    </xf>
    <xf numFmtId="0" fontId="4" fillId="11" borderId="0" xfId="0" applyFont="1" applyFill="1" applyAlignment="1">
      <alignment vertical="center"/>
    </xf>
    <xf numFmtId="0" fontId="56" fillId="16" borderId="30" xfId="0" applyFont="1" applyFill="1" applyBorder="1" applyAlignment="1" applyProtection="1">
      <alignment horizontal="center" vertical="center"/>
      <protection locked="0"/>
    </xf>
    <xf numFmtId="0" fontId="136" fillId="12" borderId="48" xfId="0" applyFont="1" applyFill="1" applyBorder="1" applyAlignment="1" applyProtection="1">
      <alignment horizontal="center" vertical="center"/>
      <protection locked="0"/>
    </xf>
    <xf numFmtId="0" fontId="138" fillId="12" borderId="37" xfId="0" applyFont="1" applyFill="1" applyBorder="1" applyAlignment="1" applyProtection="1">
      <alignment horizontal="center" vertical="center"/>
      <protection locked="0"/>
    </xf>
    <xf numFmtId="165" fontId="28" fillId="7" borderId="41" xfId="0" applyNumberFormat="1" applyFont="1" applyFill="1" applyBorder="1" applyAlignment="1" applyProtection="1">
      <alignment horizontal="center" vertical="center" wrapText="1"/>
      <protection hidden="1"/>
    </xf>
    <xf numFmtId="1" fontId="42" fillId="6" borderId="31" xfId="0" applyNumberFormat="1" applyFont="1" applyFill="1" applyBorder="1" applyAlignment="1" applyProtection="1">
      <alignment horizontal="center" vertical="center"/>
      <protection hidden="1"/>
    </xf>
    <xf numFmtId="0" fontId="51" fillId="18" borderId="68" xfId="0" applyFont="1" applyFill="1" applyBorder="1" applyAlignment="1" applyProtection="1">
      <alignment horizontal="center" vertical="center"/>
      <protection hidden="1"/>
    </xf>
    <xf numFmtId="165" fontId="17" fillId="7" borderId="48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45" xfId="0" applyFont="1" applyFill="1" applyBorder="1" applyAlignment="1" applyProtection="1">
      <alignment horizontal="left" vertical="center"/>
      <protection hidden="1"/>
    </xf>
    <xf numFmtId="0" fontId="46" fillId="15" borderId="34" xfId="0" applyFont="1" applyFill="1" applyBorder="1" applyAlignment="1" applyProtection="1">
      <alignment horizontal="center" vertical="center"/>
      <protection locked="0"/>
    </xf>
    <xf numFmtId="1" fontId="57" fillId="15" borderId="34" xfId="0" applyNumberFormat="1" applyFont="1" applyFill="1" applyBorder="1" applyAlignment="1" applyProtection="1">
      <alignment horizontal="center" vertical="center"/>
      <protection locked="0"/>
    </xf>
    <xf numFmtId="165" fontId="17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46" fillId="15" borderId="32" xfId="0" applyFont="1" applyFill="1" applyBorder="1" applyAlignment="1" applyProtection="1">
      <alignment horizontal="center" vertical="center"/>
      <protection locked="0"/>
    </xf>
    <xf numFmtId="1" fontId="57" fillId="15" borderId="32" xfId="0" applyNumberFormat="1" applyFont="1" applyFill="1" applyBorder="1" applyAlignment="1" applyProtection="1">
      <alignment horizontal="center" vertical="center"/>
      <protection locked="0"/>
    </xf>
    <xf numFmtId="0" fontId="123" fillId="31" borderId="51" xfId="3" applyFont="1" applyFill="1" applyBorder="1" applyAlignment="1" applyProtection="1">
      <alignment horizontal="center" vertical="center"/>
      <protection locked="0"/>
    </xf>
    <xf numFmtId="0" fontId="50" fillId="16" borderId="30" xfId="0" applyFont="1" applyFill="1" applyBorder="1" applyAlignment="1" applyProtection="1">
      <alignment horizontal="center" vertical="center" wrapText="1"/>
      <protection hidden="1"/>
    </xf>
    <xf numFmtId="0" fontId="49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wrapText="1"/>
    </xf>
    <xf numFmtId="0" fontId="16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57" xfId="0" applyBorder="1" applyAlignment="1">
      <alignment vertical="center"/>
    </xf>
    <xf numFmtId="0" fontId="16" fillId="0" borderId="23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0" fillId="0" borderId="67" xfId="0" applyBorder="1" applyAlignment="1">
      <alignment vertical="center"/>
    </xf>
    <xf numFmtId="0" fontId="116" fillId="29" borderId="8" xfId="3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49" fillId="11" borderId="28" xfId="0" applyFont="1" applyFill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29" xfId="0" applyBorder="1" applyAlignment="1">
      <alignment vertical="center"/>
    </xf>
    <xf numFmtId="2" fontId="0" fillId="0" borderId="29" xfId="0" applyNumberForma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2" xfId="0" applyBorder="1" applyAlignment="1">
      <alignment vertical="center"/>
    </xf>
    <xf numFmtId="0" fontId="20" fillId="0" borderId="46" xfId="0" applyFont="1" applyBorder="1" applyAlignment="1">
      <alignment vertical="center"/>
    </xf>
    <xf numFmtId="2" fontId="16" fillId="0" borderId="46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53" fillId="11" borderId="0" xfId="0" applyFont="1" applyFill="1"/>
    <xf numFmtId="0" fontId="7" fillId="0" borderId="0" xfId="0" applyFont="1" applyProtection="1">
      <protection locked="0" hidden="1"/>
    </xf>
    <xf numFmtId="0" fontId="7" fillId="11" borderId="0" xfId="0" applyFont="1" applyFill="1" applyProtection="1">
      <protection locked="0" hidden="1"/>
    </xf>
    <xf numFmtId="0" fontId="150" fillId="0" borderId="93" xfId="0" applyFont="1" applyBorder="1" applyAlignment="1" applyProtection="1">
      <alignment horizontal="center" textRotation="90"/>
      <protection hidden="1"/>
    </xf>
    <xf numFmtId="165" fontId="150" fillId="0" borderId="93" xfId="0" applyNumberFormat="1" applyFont="1" applyBorder="1" applyAlignment="1" applyProtection="1">
      <alignment horizontal="center" vertical="center" textRotation="90"/>
      <protection hidden="1"/>
    </xf>
    <xf numFmtId="0" fontId="150" fillId="0" borderId="93" xfId="0" applyFont="1" applyBorder="1" applyAlignment="1" applyProtection="1">
      <alignment horizontal="center" vertical="top" textRotation="90"/>
      <protection hidden="1"/>
    </xf>
    <xf numFmtId="0" fontId="155" fillId="11" borderId="64" xfId="0" applyFont="1" applyFill="1" applyBorder="1" applyAlignment="1" applyProtection="1">
      <alignment horizontal="center"/>
      <protection hidden="1"/>
    </xf>
    <xf numFmtId="0" fontId="53" fillId="11" borderId="0" xfId="0" applyFont="1" applyFill="1" applyProtection="1">
      <protection locked="0" hidden="1"/>
    </xf>
    <xf numFmtId="0" fontId="53" fillId="11" borderId="0" xfId="0" applyFont="1" applyFill="1" applyAlignment="1" applyProtection="1">
      <alignment horizontal="center" vertical="center"/>
      <protection locked="0" hidden="1"/>
    </xf>
    <xf numFmtId="0" fontId="51" fillId="11" borderId="0" xfId="0" applyFont="1" applyFill="1" applyProtection="1">
      <protection locked="0" hidden="1"/>
    </xf>
    <xf numFmtId="0" fontId="148" fillId="11" borderId="0" xfId="0" applyFont="1" applyFill="1" applyAlignment="1" applyProtection="1">
      <alignment horizontal="left" vertical="center"/>
      <protection hidden="1"/>
    </xf>
    <xf numFmtId="0" fontId="141" fillId="0" borderId="64" xfId="0" applyFont="1" applyBorder="1"/>
    <xf numFmtId="0" fontId="10" fillId="0" borderId="64" xfId="0" applyFont="1" applyBorder="1" applyAlignment="1">
      <alignment vertical="center"/>
    </xf>
    <xf numFmtId="0" fontId="0" fillId="0" borderId="60" xfId="0" applyBorder="1"/>
    <xf numFmtId="0" fontId="7" fillId="0" borderId="0" xfId="0" applyFont="1" applyAlignment="1">
      <alignment vertical="center"/>
    </xf>
    <xf numFmtId="0" fontId="7" fillId="0" borderId="29" xfId="0" applyFont="1" applyBorder="1"/>
    <xf numFmtId="164" fontId="0" fillId="0" borderId="29" xfId="0" applyNumberFormat="1" applyBorder="1"/>
    <xf numFmtId="0" fontId="7" fillId="0" borderId="46" xfId="0" applyFont="1" applyBorder="1" applyProtection="1">
      <protection hidden="1"/>
    </xf>
    <xf numFmtId="0" fontId="69" fillId="0" borderId="46" xfId="0" applyFont="1" applyBorder="1" applyAlignment="1" applyProtection="1">
      <alignment horizontal="center" textRotation="90"/>
      <protection hidden="1"/>
    </xf>
    <xf numFmtId="0" fontId="10" fillId="0" borderId="34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56" fillId="16" borderId="31" xfId="0" applyFont="1" applyFill="1" applyBorder="1" applyAlignment="1" applyProtection="1">
      <alignment horizontal="center" vertical="center"/>
      <protection locked="0"/>
    </xf>
    <xf numFmtId="1" fontId="69" fillId="0" borderId="46" xfId="0" applyNumberFormat="1" applyFont="1" applyBorder="1" applyAlignment="1" applyProtection="1">
      <alignment horizontal="center" vertical="center"/>
      <protection hidden="1"/>
    </xf>
    <xf numFmtId="1" fontId="69" fillId="0" borderId="41" xfId="0" applyNumberFormat="1" applyFont="1" applyBorder="1" applyAlignment="1" applyProtection="1">
      <alignment horizontal="center" vertical="center"/>
      <protection hidden="1"/>
    </xf>
    <xf numFmtId="1" fontId="69" fillId="0" borderId="31" xfId="0" applyNumberFormat="1" applyFont="1" applyBorder="1" applyAlignment="1" applyProtection="1">
      <alignment horizontal="center" vertical="center"/>
      <protection hidden="1"/>
    </xf>
    <xf numFmtId="0" fontId="133" fillId="20" borderId="8" xfId="2" applyFont="1" applyFill="1" applyBorder="1" applyAlignment="1">
      <alignment horizontal="center" vertical="center" wrapText="1"/>
    </xf>
    <xf numFmtId="0" fontId="157" fillId="14" borderId="8" xfId="2" applyFont="1" applyFill="1" applyBorder="1" applyAlignment="1">
      <alignment horizontal="left" vertical="center" wrapText="1"/>
    </xf>
    <xf numFmtId="0" fontId="158" fillId="11" borderId="8" xfId="2" applyFont="1" applyFill="1" applyBorder="1" applyAlignment="1" applyProtection="1">
      <alignment horizontal="center" vertical="center" wrapText="1"/>
      <protection hidden="1"/>
    </xf>
    <xf numFmtId="0" fontId="73" fillId="0" borderId="47" xfId="2" applyBorder="1"/>
    <xf numFmtId="0" fontId="157" fillId="14" borderId="8" xfId="2" applyFont="1" applyFill="1" applyBorder="1" applyAlignment="1">
      <alignment vertical="center" wrapText="1"/>
    </xf>
    <xf numFmtId="0" fontId="133" fillId="11" borderId="8" xfId="2" applyFont="1" applyFill="1" applyBorder="1" applyAlignment="1">
      <alignment horizontal="center" vertical="center" wrapText="1"/>
    </xf>
    <xf numFmtId="0" fontId="10" fillId="31" borderId="43" xfId="3" applyFont="1" applyFill="1" applyBorder="1" applyAlignment="1">
      <alignment horizontal="center" vertical="center"/>
    </xf>
    <xf numFmtId="0" fontId="125" fillId="0" borderId="0" xfId="3" applyFont="1" applyBorder="1" applyAlignment="1">
      <alignment horizontal="left" vertical="center" wrapText="1"/>
    </xf>
    <xf numFmtId="0" fontId="125" fillId="36" borderId="0" xfId="3" applyFont="1" applyFill="1" applyBorder="1" applyAlignment="1" applyProtection="1">
      <alignment horizontal="left" vertical="center" wrapText="1"/>
      <protection hidden="1"/>
    </xf>
    <xf numFmtId="0" fontId="116" fillId="36" borderId="0" xfId="3" applyFont="1" applyFill="1" applyBorder="1" applyAlignment="1" applyProtection="1">
      <alignment horizontal="center" vertical="center" wrapText="1"/>
      <protection hidden="1"/>
    </xf>
    <xf numFmtId="0" fontId="157" fillId="35" borderId="8" xfId="2" applyFont="1" applyFill="1" applyBorder="1" applyAlignment="1" applyProtection="1">
      <alignment horizontal="center" vertical="center"/>
      <protection locked="0" hidden="1"/>
    </xf>
    <xf numFmtId="0" fontId="73" fillId="0" borderId="47" xfId="2" applyBorder="1" applyProtection="1">
      <protection hidden="1"/>
    </xf>
    <xf numFmtId="0" fontId="133" fillId="20" borderId="8" xfId="2" applyFont="1" applyFill="1" applyBorder="1" applyAlignment="1" applyProtection="1">
      <alignment horizontal="center" vertical="center" wrapText="1"/>
      <protection hidden="1"/>
    </xf>
    <xf numFmtId="0" fontId="164" fillId="0" borderId="8" xfId="2" applyFont="1" applyBorder="1" applyAlignment="1" applyProtection="1">
      <alignment horizontal="center" vertical="center" wrapText="1"/>
      <protection hidden="1"/>
    </xf>
    <xf numFmtId="2" fontId="165" fillId="0" borderId="8" xfId="2" applyNumberFormat="1" applyFont="1" applyBorder="1" applyAlignment="1" applyProtection="1">
      <alignment horizontal="center" vertical="center"/>
      <protection hidden="1"/>
    </xf>
    <xf numFmtId="0" fontId="120" fillId="31" borderId="30" xfId="3" applyFont="1" applyFill="1" applyBorder="1" applyAlignment="1" applyProtection="1">
      <alignment horizontal="center" vertical="center"/>
      <protection locked="0" hidden="1"/>
    </xf>
    <xf numFmtId="0" fontId="160" fillId="20" borderId="8" xfId="2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2" fontId="6" fillId="7" borderId="43" xfId="0" applyNumberFormat="1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>
      <alignment horizontal="center" vertical="center" wrapText="1"/>
    </xf>
    <xf numFmtId="0" fontId="3" fillId="11" borderId="0" xfId="0" applyFont="1" applyFill="1" applyAlignment="1">
      <alignment horizontal="left" vertical="center" wrapText="1"/>
    </xf>
    <xf numFmtId="0" fontId="3" fillId="11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/>
    </xf>
    <xf numFmtId="1" fontId="6" fillId="11" borderId="0" xfId="0" applyNumberFormat="1" applyFont="1" applyFill="1" applyAlignment="1">
      <alignment horizontal="center" vertical="center"/>
    </xf>
    <xf numFmtId="0" fontId="50" fillId="18" borderId="88" xfId="0" applyFont="1" applyFill="1" applyBorder="1" applyAlignment="1">
      <alignment horizontal="center" vertical="center" wrapText="1"/>
    </xf>
    <xf numFmtId="0" fontId="50" fillId="18" borderId="69" xfId="0" applyFont="1" applyFill="1" applyBorder="1" applyAlignment="1">
      <alignment horizontal="center" vertical="center" wrapText="1"/>
    </xf>
    <xf numFmtId="1" fontId="6" fillId="14" borderId="43" xfId="0" applyNumberFormat="1" applyFont="1" applyFill="1" applyBorder="1" applyAlignment="1">
      <alignment horizontal="center" vertical="center"/>
    </xf>
    <xf numFmtId="1" fontId="6" fillId="14" borderId="44" xfId="0" applyNumberFormat="1" applyFont="1" applyFill="1" applyBorder="1" applyAlignment="1">
      <alignment horizontal="center" vertical="center"/>
    </xf>
    <xf numFmtId="1" fontId="6" fillId="14" borderId="42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13" fillId="0" borderId="29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10" fillId="11" borderId="64" xfId="0" applyFont="1" applyFill="1" applyBorder="1" applyAlignment="1">
      <alignment vertical="center"/>
    </xf>
    <xf numFmtId="0" fontId="56" fillId="11" borderId="0" xfId="0" applyFont="1" applyFill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6" borderId="0" xfId="0" applyFont="1" applyFill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32" borderId="31" xfId="0" applyFill="1" applyBorder="1" applyAlignment="1">
      <alignment horizontal="center" vertical="center" wrapText="1"/>
    </xf>
    <xf numFmtId="0" fontId="18" fillId="32" borderId="32" xfId="0" applyFont="1" applyFill="1" applyBorder="1" applyAlignment="1">
      <alignment vertical="center"/>
    </xf>
    <xf numFmtId="0" fontId="0" fillId="32" borderId="32" xfId="0" applyFill="1" applyBorder="1" applyAlignment="1">
      <alignment horizontal="center" vertical="center" wrapText="1"/>
    </xf>
    <xf numFmtId="1" fontId="69" fillId="0" borderId="0" xfId="0" applyNumberFormat="1" applyFont="1" applyAlignment="1" applyProtection="1">
      <alignment horizontal="center" vertical="center"/>
      <protection hidden="1"/>
    </xf>
    <xf numFmtId="0" fontId="6" fillId="0" borderId="49" xfId="0" applyFont="1" applyBorder="1" applyAlignment="1">
      <alignment horizontal="left" vertical="center" wrapText="1"/>
    </xf>
    <xf numFmtId="0" fontId="6" fillId="0" borderId="93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56" fillId="16" borderId="41" xfId="0" applyFont="1" applyFill="1" applyBorder="1" applyAlignment="1" applyProtection="1">
      <alignment horizontal="center" vertical="center"/>
      <protection locked="0"/>
    </xf>
    <xf numFmtId="0" fontId="7" fillId="11" borderId="0" xfId="1" applyFill="1" applyAlignment="1" applyProtection="1">
      <alignment horizontal="center" vertical="center"/>
      <protection hidden="1"/>
    </xf>
    <xf numFmtId="0" fontId="56" fillId="11" borderId="0" xfId="1" applyFont="1" applyFill="1" applyAlignment="1" applyProtection="1">
      <alignment horizontal="center" vertical="center" wrapText="1"/>
      <protection hidden="1"/>
    </xf>
    <xf numFmtId="0" fontId="62" fillId="11" borderId="0" xfId="1" applyFont="1" applyFill="1" applyAlignment="1" applyProtection="1">
      <alignment horizontal="center" vertical="center" wrapText="1"/>
      <protection hidden="1"/>
    </xf>
    <xf numFmtId="0" fontId="60" fillId="11" borderId="0" xfId="1" applyFont="1" applyFill="1" applyAlignment="1" applyProtection="1">
      <alignment horizontal="center" vertical="center" wrapText="1"/>
      <protection hidden="1"/>
    </xf>
    <xf numFmtId="0" fontId="38" fillId="11" borderId="0" xfId="1" applyFont="1" applyFill="1" applyAlignment="1" applyProtection="1">
      <alignment horizontal="center" vertical="center"/>
      <protection hidden="1"/>
    </xf>
    <xf numFmtId="0" fontId="51" fillId="11" borderId="0" xfId="1" applyFont="1" applyFill="1" applyAlignment="1" applyProtection="1">
      <alignment vertical="center"/>
      <protection hidden="1"/>
    </xf>
    <xf numFmtId="0" fontId="56" fillId="11" borderId="0" xfId="1" applyFont="1" applyFill="1" applyAlignment="1" applyProtection="1">
      <alignment horizontal="center" vertical="center"/>
      <protection hidden="1"/>
    </xf>
    <xf numFmtId="0" fontId="62" fillId="11" borderId="0" xfId="1" applyFont="1" applyFill="1" applyAlignment="1" applyProtection="1">
      <alignment horizontal="center" vertical="center"/>
      <protection hidden="1"/>
    </xf>
    <xf numFmtId="0" fontId="7" fillId="11" borderId="0" xfId="1" applyFill="1" applyProtection="1">
      <protection hidden="1"/>
    </xf>
    <xf numFmtId="0" fontId="60" fillId="11" borderId="0" xfId="1" applyFont="1" applyFill="1" applyAlignment="1" applyProtection="1">
      <alignment horizontal="center" vertical="center"/>
      <protection hidden="1"/>
    </xf>
    <xf numFmtId="0" fontId="51" fillId="11" borderId="0" xfId="1" applyFont="1" applyFill="1" applyAlignment="1" applyProtection="1">
      <alignment vertical="center" wrapText="1"/>
      <protection hidden="1"/>
    </xf>
    <xf numFmtId="1" fontId="138" fillId="37" borderId="30" xfId="1" applyNumberFormat="1" applyFont="1" applyFill="1" applyBorder="1" applyAlignment="1" applyProtection="1">
      <alignment horizontal="center" vertical="center"/>
      <protection locked="0" hidden="1"/>
    </xf>
    <xf numFmtId="1" fontId="63" fillId="37" borderId="34" xfId="1" applyNumberFormat="1" applyFont="1" applyFill="1" applyBorder="1" applyAlignment="1" applyProtection="1">
      <alignment horizontal="center" vertical="center"/>
      <protection locked="0" hidden="1"/>
    </xf>
    <xf numFmtId="165" fontId="12" fillId="6" borderId="31" xfId="1" applyNumberFormat="1" applyFont="1" applyFill="1" applyBorder="1" applyAlignment="1" applyProtection="1">
      <alignment horizontal="center" vertical="center"/>
      <protection hidden="1"/>
    </xf>
    <xf numFmtId="165" fontId="12" fillId="7" borderId="30" xfId="0" applyNumberFormat="1" applyFont="1" applyFill="1" applyBorder="1" applyAlignment="1" applyProtection="1">
      <alignment horizontal="center" vertical="center" wrapText="1"/>
      <protection hidden="1"/>
    </xf>
    <xf numFmtId="165" fontId="12" fillId="38" borderId="31" xfId="1" applyNumberFormat="1" applyFont="1" applyFill="1" applyBorder="1" applyAlignment="1" applyProtection="1">
      <alignment horizontal="center" vertical="center"/>
      <protection hidden="1"/>
    </xf>
    <xf numFmtId="0" fontId="8" fillId="38" borderId="31" xfId="1" applyFont="1" applyFill="1" applyBorder="1" applyAlignment="1" applyProtection="1">
      <alignment vertical="center" wrapText="1"/>
      <protection hidden="1"/>
    </xf>
    <xf numFmtId="165" fontId="7" fillId="11" borderId="0" xfId="1" applyNumberFormat="1" applyFill="1"/>
    <xf numFmtId="2" fontId="51" fillId="16" borderId="31" xfId="1" applyNumberFormat="1" applyFont="1" applyFill="1" applyBorder="1" applyAlignment="1" applyProtection="1">
      <alignment horizontal="center" vertical="center" wrapText="1"/>
      <protection hidden="1"/>
    </xf>
    <xf numFmtId="0" fontId="56" fillId="18" borderId="45" xfId="1" applyFont="1" applyFill="1" applyBorder="1" applyAlignment="1" applyProtection="1">
      <alignment vertical="center"/>
      <protection hidden="1"/>
    </xf>
    <xf numFmtId="2" fontId="56" fillId="18" borderId="31" xfId="1" applyNumberFormat="1" applyFont="1" applyFill="1" applyBorder="1" applyAlignment="1" applyProtection="1">
      <alignment horizontal="center" vertical="center" wrapText="1"/>
      <protection hidden="1"/>
    </xf>
    <xf numFmtId="1" fontId="118" fillId="12" borderId="51" xfId="1" applyNumberFormat="1" applyFont="1" applyFill="1" applyBorder="1" applyAlignment="1" applyProtection="1">
      <alignment horizontal="center" vertical="center"/>
      <protection locked="0" hidden="1"/>
    </xf>
    <xf numFmtId="1" fontId="118" fillId="37" borderId="30" xfId="1" applyNumberFormat="1" applyFont="1" applyFill="1" applyBorder="1" applyAlignment="1" applyProtection="1">
      <alignment horizontal="center" vertical="center"/>
      <protection locked="0" hidden="1"/>
    </xf>
    <xf numFmtId="1" fontId="118" fillId="12" borderId="30" xfId="1" applyNumberFormat="1" applyFont="1" applyFill="1" applyBorder="1" applyAlignment="1" applyProtection="1">
      <alignment horizontal="center" vertical="center"/>
      <protection locked="0" hidden="1"/>
    </xf>
    <xf numFmtId="1" fontId="118" fillId="15" borderId="30" xfId="1" applyNumberFormat="1" applyFont="1" applyFill="1" applyBorder="1" applyAlignment="1" applyProtection="1">
      <alignment horizontal="center" vertical="center"/>
      <protection locked="0" hidden="1"/>
    </xf>
    <xf numFmtId="1" fontId="69" fillId="0" borderId="46" xfId="0" applyNumberFormat="1" applyFont="1" applyBorder="1" applyAlignment="1" applyProtection="1">
      <alignment horizontal="center" textRotation="90"/>
      <protection hidden="1"/>
    </xf>
    <xf numFmtId="0" fontId="56" fillId="18" borderId="30" xfId="1" applyFont="1" applyFill="1" applyBorder="1" applyAlignment="1" applyProtection="1">
      <alignment horizontal="center" vertical="center" wrapText="1"/>
      <protection hidden="1"/>
    </xf>
    <xf numFmtId="0" fontId="18" fillId="14" borderId="33" xfId="1" applyFont="1" applyFill="1" applyBorder="1" applyAlignment="1" applyProtection="1">
      <alignment horizontal="center" vertical="center"/>
      <protection hidden="1"/>
    </xf>
    <xf numFmtId="0" fontId="18" fillId="14" borderId="2" xfId="1" applyFont="1" applyFill="1" applyBorder="1" applyAlignment="1" applyProtection="1">
      <alignment horizontal="center" vertical="center"/>
      <protection hidden="1"/>
    </xf>
    <xf numFmtId="0" fontId="18" fillId="14" borderId="3" xfId="1" applyFont="1" applyFill="1" applyBorder="1" applyAlignment="1" applyProtection="1">
      <alignment horizontal="center" vertical="center"/>
      <protection hidden="1"/>
    </xf>
    <xf numFmtId="0" fontId="56" fillId="18" borderId="51" xfId="1" applyFont="1" applyFill="1" applyBorder="1" applyAlignment="1" applyProtection="1">
      <alignment horizontal="center" vertical="center" wrapText="1"/>
      <protection hidden="1"/>
    </xf>
    <xf numFmtId="0" fontId="18" fillId="14" borderId="44" xfId="1" applyFont="1" applyFill="1" applyBorder="1" applyAlignment="1" applyProtection="1">
      <alignment horizontal="center" vertical="center"/>
      <protection hidden="1"/>
    </xf>
    <xf numFmtId="0" fontId="18" fillId="14" borderId="42" xfId="1" applyFont="1" applyFill="1" applyBorder="1" applyAlignment="1" applyProtection="1">
      <alignment horizontal="center" vertical="center"/>
      <protection hidden="1"/>
    </xf>
    <xf numFmtId="0" fontId="6" fillId="0" borderId="31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38" fillId="7" borderId="33" xfId="0" applyFont="1" applyFill="1" applyBorder="1" applyAlignment="1" applyProtection="1">
      <alignment horizontal="center" vertical="center" wrapText="1"/>
      <protection hidden="1"/>
    </xf>
    <xf numFmtId="0" fontId="38" fillId="7" borderId="61" xfId="0" applyFont="1" applyFill="1" applyBorder="1" applyAlignment="1" applyProtection="1">
      <alignment horizontal="center" vertical="center" wrapText="1"/>
      <protection hidden="1"/>
    </xf>
    <xf numFmtId="0" fontId="46" fillId="7" borderId="37" xfId="0" applyFont="1" applyFill="1" applyBorder="1" applyAlignment="1" applyProtection="1">
      <alignment horizontal="center" vertical="center"/>
      <protection hidden="1"/>
    </xf>
    <xf numFmtId="1" fontId="57" fillId="7" borderId="37" xfId="0" applyNumberFormat="1" applyFont="1" applyFill="1" applyBorder="1" applyAlignment="1" applyProtection="1">
      <alignment horizontal="center" vertical="center"/>
      <protection hidden="1"/>
    </xf>
    <xf numFmtId="1" fontId="57" fillId="7" borderId="31" xfId="0" applyNumberFormat="1" applyFont="1" applyFill="1" applyBorder="1" applyAlignment="1" applyProtection="1">
      <alignment horizontal="center" vertical="center"/>
      <protection hidden="1"/>
    </xf>
    <xf numFmtId="165" fontId="12" fillId="7" borderId="37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30" xfId="0" applyFont="1" applyFill="1" applyBorder="1" applyAlignment="1" applyProtection="1">
      <alignment horizontal="left" vertical="center"/>
      <protection hidden="1"/>
    </xf>
    <xf numFmtId="0" fontId="138" fillId="7" borderId="30" xfId="0" applyFont="1" applyFill="1" applyBorder="1" applyAlignment="1" applyProtection="1">
      <alignment horizontal="center" vertical="center"/>
      <protection locked="0"/>
    </xf>
    <xf numFmtId="0" fontId="46" fillId="7" borderId="30" xfId="0" applyFont="1" applyFill="1" applyBorder="1" applyAlignment="1" applyProtection="1">
      <alignment horizontal="center" vertical="center"/>
      <protection hidden="1"/>
    </xf>
    <xf numFmtId="1" fontId="57" fillId="7" borderId="30" xfId="0" applyNumberFormat="1" applyFont="1" applyFill="1" applyBorder="1" applyAlignment="1" applyProtection="1">
      <alignment horizontal="center" vertical="center"/>
      <protection hidden="1"/>
    </xf>
    <xf numFmtId="0" fontId="124" fillId="31" borderId="30" xfId="3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125" fillId="30" borderId="8" xfId="3" applyFont="1" applyFill="1" applyBorder="1" applyAlignment="1" applyProtection="1">
      <alignment horizontal="left" vertical="center" wrapText="1"/>
      <protection hidden="1"/>
    </xf>
    <xf numFmtId="0" fontId="125" fillId="0" borderId="8" xfId="3" applyFont="1" applyBorder="1" applyAlignment="1" applyProtection="1">
      <alignment horizontal="left" vertical="center" wrapText="1"/>
      <protection hidden="1"/>
    </xf>
    <xf numFmtId="0" fontId="125" fillId="0" borderId="8" xfId="3" applyFont="1" applyBorder="1" applyAlignment="1">
      <alignment horizontal="left" vertical="center" wrapText="1"/>
    </xf>
    <xf numFmtId="0" fontId="122" fillId="11" borderId="45" xfId="0" applyFont="1" applyFill="1" applyBorder="1" applyAlignment="1" applyProtection="1">
      <alignment horizontal="center" vertical="center" wrapText="1"/>
      <protection hidden="1"/>
    </xf>
    <xf numFmtId="0" fontId="122" fillId="11" borderId="28" xfId="0" applyFont="1" applyFill="1" applyBorder="1" applyAlignment="1" applyProtection="1">
      <alignment horizontal="center"/>
      <protection hidden="1"/>
    </xf>
    <xf numFmtId="0" fontId="168" fillId="0" borderId="53" xfId="0" applyFont="1" applyBorder="1" applyAlignment="1" applyProtection="1">
      <alignment horizontal="center"/>
      <protection hidden="1"/>
    </xf>
    <xf numFmtId="0" fontId="122" fillId="11" borderId="46" xfId="0" applyFont="1" applyFill="1" applyBorder="1" applyAlignment="1" applyProtection="1">
      <alignment horizontal="center"/>
      <protection hidden="1"/>
    </xf>
    <xf numFmtId="0" fontId="122" fillId="11" borderId="0" xfId="0" applyFont="1" applyFill="1" applyAlignment="1" applyProtection="1">
      <alignment horizontal="center"/>
      <protection hidden="1"/>
    </xf>
    <xf numFmtId="0" fontId="168" fillId="0" borderId="64" xfId="0" applyFont="1" applyBorder="1" applyAlignment="1" applyProtection="1">
      <alignment horizontal="center"/>
      <protection hidden="1"/>
    </xf>
    <xf numFmtId="0" fontId="122" fillId="11" borderId="41" xfId="0" applyFont="1" applyFill="1" applyBorder="1" applyAlignment="1" applyProtection="1">
      <alignment horizontal="center"/>
      <protection hidden="1"/>
    </xf>
    <xf numFmtId="0" fontId="122" fillId="11" borderId="29" xfId="0" applyFont="1" applyFill="1" applyBorder="1" applyAlignment="1" applyProtection="1">
      <alignment horizontal="center"/>
      <protection hidden="1"/>
    </xf>
    <xf numFmtId="0" fontId="168" fillId="0" borderId="60" xfId="0" applyFont="1" applyBorder="1" applyAlignment="1" applyProtection="1">
      <alignment horizontal="center"/>
      <protection hidden="1"/>
    </xf>
    <xf numFmtId="0" fontId="129" fillId="0" borderId="76" xfId="3" applyFont="1" applyBorder="1" applyAlignment="1" applyProtection="1">
      <alignment horizontal="center" vertical="top"/>
      <protection hidden="1"/>
    </xf>
    <xf numFmtId="0" fontId="129" fillId="0" borderId="72" xfId="3" applyFont="1" applyBorder="1" applyAlignment="1" applyProtection="1">
      <alignment horizontal="center" vertical="top"/>
      <protection hidden="1"/>
    </xf>
    <xf numFmtId="0" fontId="129" fillId="0" borderId="73" xfId="3" applyFont="1" applyBorder="1" applyAlignment="1" applyProtection="1">
      <alignment vertical="top"/>
      <protection hidden="1"/>
    </xf>
    <xf numFmtId="0" fontId="129" fillId="0" borderId="75" xfId="3" applyFont="1" applyBorder="1" applyAlignment="1" applyProtection="1">
      <alignment vertical="top"/>
      <protection hidden="1"/>
    </xf>
    <xf numFmtId="0" fontId="125" fillId="30" borderId="8" xfId="3" quotePrefix="1" applyFont="1" applyFill="1" applyBorder="1" applyAlignment="1" applyProtection="1">
      <alignment horizontal="left" vertical="center" wrapText="1"/>
      <protection hidden="1"/>
    </xf>
    <xf numFmtId="0" fontId="125" fillId="30" borderId="9" xfId="3" applyFont="1" applyFill="1" applyBorder="1" applyAlignment="1" applyProtection="1">
      <alignment vertical="center" wrapText="1"/>
      <protection hidden="1"/>
    </xf>
    <xf numFmtId="0" fontId="125" fillId="0" borderId="39" xfId="3" applyFont="1" applyBorder="1" applyAlignment="1">
      <alignment vertical="center" wrapText="1"/>
    </xf>
    <xf numFmtId="0" fontId="125" fillId="0" borderId="23" xfId="3" applyFont="1" applyBorder="1" applyAlignment="1">
      <alignment vertical="center" wrapText="1"/>
    </xf>
    <xf numFmtId="0" fontId="125" fillId="30" borderId="9" xfId="3" quotePrefix="1" applyFont="1" applyFill="1" applyBorder="1" applyAlignment="1" applyProtection="1">
      <alignment horizontal="left" vertical="center" wrapText="1"/>
      <protection hidden="1"/>
    </xf>
    <xf numFmtId="0" fontId="125" fillId="0" borderId="39" xfId="3" applyFont="1" applyBorder="1" applyAlignment="1">
      <alignment horizontal="left" vertical="center" wrapText="1"/>
    </xf>
    <xf numFmtId="0" fontId="125" fillId="0" borderId="23" xfId="3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5" borderId="8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8" fillId="11" borderId="0" xfId="0" applyFont="1" applyFill="1" applyAlignment="1" applyProtection="1">
      <alignment horizontal="left" vertical="center" textRotation="90" wrapText="1"/>
      <protection hidden="1"/>
    </xf>
    <xf numFmtId="0" fontId="17" fillId="11" borderId="0" xfId="0" applyFont="1" applyFill="1" applyAlignment="1" applyProtection="1">
      <alignment horizontal="left" vertical="center" wrapText="1"/>
      <protection hidden="1"/>
    </xf>
    <xf numFmtId="0" fontId="39" fillId="17" borderId="41" xfId="0" applyFont="1" applyFill="1" applyBorder="1" applyAlignment="1">
      <alignment horizontal="center" vertical="center" wrapText="1"/>
    </xf>
    <xf numFmtId="0" fontId="39" fillId="17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3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51" xfId="0" applyBorder="1" applyAlignment="1">
      <alignment wrapText="1"/>
    </xf>
    <xf numFmtId="0" fontId="148" fillId="11" borderId="64" xfId="0" applyFont="1" applyFill="1" applyBorder="1" applyAlignment="1" applyProtection="1">
      <alignment horizontal="left" vertical="center" textRotation="90"/>
      <protection hidden="1"/>
    </xf>
    <xf numFmtId="0" fontId="18" fillId="32" borderId="32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wrapText="1"/>
    </xf>
    <xf numFmtId="0" fontId="149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48" fillId="11" borderId="46" xfId="0" applyFont="1" applyFill="1" applyBorder="1" applyAlignment="1" applyProtection="1">
      <alignment horizontal="right" textRotation="90" wrapText="1"/>
      <protection hidden="1"/>
    </xf>
    <xf numFmtId="0" fontId="18" fillId="3" borderId="4" xfId="0" applyFont="1" applyFill="1" applyBorder="1" applyAlignment="1" applyProtection="1">
      <alignment horizontal="left" vertical="center"/>
      <protection hidden="1"/>
    </xf>
    <xf numFmtId="0" fontId="0" fillId="0" borderId="39" xfId="0" applyBorder="1" applyProtection="1">
      <protection hidden="1"/>
    </xf>
    <xf numFmtId="0" fontId="0" fillId="0" borderId="44" xfId="0" applyBorder="1"/>
    <xf numFmtId="0" fontId="18" fillId="4" borderId="4" xfId="0" applyFont="1" applyFill="1" applyBorder="1" applyAlignment="1" applyProtection="1">
      <alignment horizontal="left" vertical="center"/>
      <protection hidden="1"/>
    </xf>
    <xf numFmtId="0" fontId="143" fillId="17" borderId="41" xfId="0" applyFont="1" applyFill="1" applyBorder="1" applyAlignment="1">
      <alignment horizontal="center" vertical="center" wrapText="1"/>
    </xf>
    <xf numFmtId="0" fontId="143" fillId="17" borderId="29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 applyProtection="1">
      <alignment horizontal="left" vertical="center" wrapText="1"/>
      <protection hidden="1"/>
    </xf>
    <xf numFmtId="0" fontId="7" fillId="6" borderId="29" xfId="0" applyFont="1" applyFill="1" applyBorder="1" applyAlignment="1" applyProtection="1">
      <alignment wrapText="1"/>
      <protection hidden="1"/>
    </xf>
    <xf numFmtId="0" fontId="0" fillId="0" borderId="60" xfId="0" applyBorder="1" applyAlignment="1">
      <alignment wrapText="1"/>
    </xf>
    <xf numFmtId="0" fontId="6" fillId="11" borderId="0" xfId="0" applyFont="1" applyFill="1" applyAlignment="1" applyProtection="1">
      <alignment horizontal="left" vertical="center" wrapText="1"/>
      <protection hidden="1"/>
    </xf>
    <xf numFmtId="0" fontId="7" fillId="11" borderId="0" xfId="0" applyFont="1" applyFill="1" applyAlignment="1" applyProtection="1">
      <alignment wrapText="1"/>
      <protection hidden="1"/>
    </xf>
    <xf numFmtId="0" fontId="22" fillId="8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50" fillId="18" borderId="45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56" fillId="18" borderId="88" xfId="0" applyFont="1" applyFill="1" applyBorder="1" applyAlignment="1" applyProtection="1">
      <alignment vertical="center" wrapText="1"/>
      <protection hidden="1"/>
    </xf>
    <xf numFmtId="0" fontId="62" fillId="18" borderId="89" xfId="0" applyFont="1" applyFill="1" applyBorder="1" applyAlignment="1" applyProtection="1">
      <alignment wrapText="1"/>
      <protection hidden="1"/>
    </xf>
    <xf numFmtId="0" fontId="62" fillId="18" borderId="69" xfId="0" applyFont="1" applyFill="1" applyBorder="1" applyAlignment="1" applyProtection="1">
      <alignment wrapText="1"/>
      <protection hidden="1"/>
    </xf>
    <xf numFmtId="0" fontId="18" fillId="3" borderId="7" xfId="0" applyFont="1" applyFill="1" applyBorder="1" applyAlignment="1" applyProtection="1">
      <alignment horizontal="left" vertical="center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18" fillId="4" borderId="19" xfId="0" applyFont="1" applyFill="1" applyBorder="1" applyAlignment="1" applyProtection="1">
      <alignment horizontal="left" vertical="center"/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50" fillId="18" borderId="28" xfId="0" applyFont="1" applyFill="1" applyBorder="1" applyAlignment="1">
      <alignment horizontal="center" vertical="center" wrapText="1"/>
    </xf>
    <xf numFmtId="0" fontId="50" fillId="18" borderId="5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64" fillId="8" borderId="31" xfId="0" applyFont="1" applyFill="1" applyBorder="1" applyAlignment="1">
      <alignment horizontal="center" vertical="center" wrapText="1"/>
    </xf>
    <xf numFmtId="0" fontId="64" fillId="8" borderId="32" xfId="0" applyFont="1" applyFill="1" applyBorder="1" applyAlignment="1">
      <alignment horizontal="center" vertical="center" wrapText="1"/>
    </xf>
    <xf numFmtId="0" fontId="65" fillId="8" borderId="32" xfId="0" applyFont="1" applyFill="1" applyBorder="1" applyAlignment="1">
      <alignment horizontal="center" vertical="center" wrapText="1"/>
    </xf>
    <xf numFmtId="0" fontId="65" fillId="8" borderId="51" xfId="0" applyFont="1" applyFill="1" applyBorder="1" applyAlignment="1">
      <alignment horizontal="center" vertical="center" wrapText="1"/>
    </xf>
    <xf numFmtId="0" fontId="50" fillId="18" borderId="45" xfId="0" applyFont="1" applyFill="1" applyBorder="1" applyAlignment="1">
      <alignment horizontal="center" vertical="center"/>
    </xf>
    <xf numFmtId="0" fontId="50" fillId="18" borderId="41" xfId="0" applyFont="1" applyFill="1" applyBorder="1" applyAlignment="1">
      <alignment horizontal="center" vertical="center"/>
    </xf>
    <xf numFmtId="0" fontId="50" fillId="18" borderId="48" xfId="0" applyFont="1" applyFill="1" applyBorder="1" applyAlignment="1">
      <alignment horizontal="center" vertical="center"/>
    </xf>
    <xf numFmtId="0" fontId="50" fillId="18" borderId="37" xfId="0" applyFont="1" applyFill="1" applyBorder="1" applyAlignment="1">
      <alignment horizontal="center" vertical="center"/>
    </xf>
    <xf numFmtId="0" fontId="50" fillId="18" borderId="27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0" fillId="18" borderId="31" xfId="0" applyFont="1" applyFill="1" applyBorder="1" applyAlignment="1">
      <alignment horizontal="center" vertical="center"/>
    </xf>
    <xf numFmtId="0" fontId="50" fillId="18" borderId="51" xfId="0" applyFont="1" applyFill="1" applyBorder="1" applyAlignment="1">
      <alignment horizontal="center" vertical="center"/>
    </xf>
    <xf numFmtId="0" fontId="114" fillId="11" borderId="4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2" xfId="0" applyBorder="1" applyAlignment="1">
      <alignment wrapText="1"/>
    </xf>
    <xf numFmtId="0" fontId="16" fillId="11" borderId="23" xfId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73" fillId="0" borderId="4" xfId="1" applyFont="1" applyBorder="1" applyAlignment="1">
      <alignment horizontal="left" vertical="center" wrapText="1"/>
    </xf>
    <xf numFmtId="0" fontId="173" fillId="0" borderId="39" xfId="1" applyFont="1" applyBorder="1" applyAlignment="1">
      <alignment horizontal="left" vertical="center" wrapText="1"/>
    </xf>
    <xf numFmtId="0" fontId="16" fillId="0" borderId="39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73" fillId="0" borderId="5" xfId="1" applyFont="1" applyBorder="1" applyAlignment="1">
      <alignment horizontal="left" vertical="center" wrapText="1"/>
    </xf>
    <xf numFmtId="0" fontId="173" fillId="0" borderId="40" xfId="1" applyFont="1" applyBorder="1" applyAlignment="1">
      <alignment horizontal="left" vertical="center" wrapText="1"/>
    </xf>
    <xf numFmtId="0" fontId="16" fillId="0" borderId="40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3" fillId="0" borderId="27" xfId="1" applyFont="1" applyBorder="1" applyAlignment="1">
      <alignment horizontal="left" vertical="center" wrapText="1"/>
    </xf>
    <xf numFmtId="0" fontId="173" fillId="0" borderId="38" xfId="1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61" xfId="0" applyFont="1" applyBorder="1" applyAlignment="1">
      <alignment horizontal="left" vertical="center" wrapText="1"/>
    </xf>
    <xf numFmtId="0" fontId="16" fillId="0" borderId="39" xfId="0" applyFont="1" applyBorder="1" applyAlignment="1">
      <alignment vertical="center" wrapText="1"/>
    </xf>
    <xf numFmtId="0" fontId="16" fillId="0" borderId="44" xfId="0" applyFont="1" applyBorder="1" applyAlignment="1">
      <alignment vertical="center" wrapText="1"/>
    </xf>
    <xf numFmtId="0" fontId="6" fillId="0" borderId="31" xfId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51" fillId="11" borderId="0" xfId="1" applyFont="1" applyFill="1" applyAlignment="1" applyProtection="1">
      <alignment horizontal="center" vertical="center" wrapText="1"/>
      <protection hidden="1"/>
    </xf>
    <xf numFmtId="0" fontId="7" fillId="11" borderId="0" xfId="1" applyFill="1" applyAlignment="1" applyProtection="1">
      <alignment wrapText="1"/>
      <protection hidden="1"/>
    </xf>
    <xf numFmtId="0" fontId="56" fillId="11" borderId="0" xfId="1" applyFont="1" applyFill="1" applyAlignment="1" applyProtection="1">
      <alignment horizontal="center" vertical="center" wrapText="1"/>
      <protection hidden="1"/>
    </xf>
    <xf numFmtId="0" fontId="62" fillId="11" borderId="0" xfId="1" applyFont="1" applyFill="1" applyAlignment="1" applyProtection="1">
      <alignment horizontal="center" vertical="center" wrapText="1"/>
      <protection hidden="1"/>
    </xf>
    <xf numFmtId="0" fontId="8" fillId="38" borderId="31" xfId="1" applyFont="1" applyFill="1" applyBorder="1" applyAlignment="1" applyProtection="1">
      <alignment vertical="center"/>
      <protection hidden="1"/>
    </xf>
    <xf numFmtId="0" fontId="7" fillId="38" borderId="51" xfId="1" applyFill="1" applyBorder="1" applyAlignment="1" applyProtection="1">
      <alignment vertical="center"/>
      <protection hidden="1"/>
    </xf>
    <xf numFmtId="0" fontId="145" fillId="38" borderId="25" xfId="1" applyFont="1" applyFill="1" applyBorder="1" applyAlignment="1" applyProtection="1">
      <alignment horizontal="center" vertical="center" wrapText="1"/>
      <protection hidden="1"/>
    </xf>
    <xf numFmtId="0" fontId="145" fillId="38" borderId="47" xfId="1" applyFont="1" applyFill="1" applyBorder="1" applyAlignment="1" applyProtection="1">
      <alignment horizontal="center" vertical="center" wrapText="1"/>
      <protection hidden="1"/>
    </xf>
    <xf numFmtId="0" fontId="145" fillId="38" borderId="26" xfId="1" applyFont="1" applyFill="1" applyBorder="1" applyAlignment="1" applyProtection="1">
      <alignment wrapText="1"/>
      <protection hidden="1"/>
    </xf>
    <xf numFmtId="0" fontId="18" fillId="3" borderId="31" xfId="1" applyFont="1" applyFill="1" applyBorder="1" applyAlignment="1" applyProtection="1">
      <alignment vertical="center"/>
      <protection hidden="1"/>
    </xf>
    <xf numFmtId="0" fontId="7" fillId="0" borderId="51" xfId="1" applyBorder="1" applyAlignment="1" applyProtection="1">
      <alignment vertical="center"/>
      <protection hidden="1"/>
    </xf>
    <xf numFmtId="0" fontId="145" fillId="6" borderId="25" xfId="1" applyFont="1" applyFill="1" applyBorder="1" applyAlignment="1" applyProtection="1">
      <alignment horizontal="center" vertical="center" wrapText="1"/>
      <protection hidden="1"/>
    </xf>
    <xf numFmtId="0" fontId="145" fillId="6" borderId="47" xfId="1" applyFont="1" applyFill="1" applyBorder="1" applyAlignment="1" applyProtection="1">
      <alignment horizontal="center" vertical="center" wrapText="1"/>
      <protection hidden="1"/>
    </xf>
    <xf numFmtId="0" fontId="145" fillId="6" borderId="26" xfId="1" applyFont="1" applyFill="1" applyBorder="1" applyAlignment="1" applyProtection="1">
      <alignment wrapText="1"/>
      <protection hidden="1"/>
    </xf>
    <xf numFmtId="0" fontId="10" fillId="38" borderId="31" xfId="1" applyFont="1" applyFill="1" applyBorder="1" applyAlignment="1" applyProtection="1">
      <alignment vertical="center" wrapText="1"/>
      <protection hidden="1"/>
    </xf>
    <xf numFmtId="0" fontId="16" fillId="38" borderId="51" xfId="1" applyFont="1" applyFill="1" applyBorder="1" applyAlignment="1" applyProtection="1">
      <alignment vertical="center" wrapText="1"/>
      <protection hidden="1"/>
    </xf>
    <xf numFmtId="0" fontId="145" fillId="38" borderId="50" xfId="1" applyFont="1" applyFill="1" applyBorder="1" applyAlignment="1" applyProtection="1">
      <alignment horizontal="center" vertical="center" wrapText="1"/>
      <protection hidden="1"/>
    </xf>
    <xf numFmtId="0" fontId="145" fillId="38" borderId="62" xfId="1" applyFont="1" applyFill="1" applyBorder="1" applyAlignment="1" applyProtection="1">
      <alignment horizontal="center" vertical="center" wrapText="1"/>
      <protection hidden="1"/>
    </xf>
    <xf numFmtId="0" fontId="145" fillId="38" borderId="63" xfId="1" applyFont="1" applyFill="1" applyBorder="1" applyAlignment="1" applyProtection="1">
      <alignment wrapText="1"/>
      <protection hidden="1"/>
    </xf>
    <xf numFmtId="0" fontId="56" fillId="18" borderId="49" xfId="1" applyFont="1" applyFill="1" applyBorder="1" applyAlignment="1" applyProtection="1">
      <alignment horizontal="center" vertical="center" wrapText="1"/>
      <protection hidden="1"/>
    </xf>
    <xf numFmtId="0" fontId="17" fillId="0" borderId="59" xfId="0" applyFont="1" applyBorder="1" applyAlignment="1">
      <alignment horizontal="center" vertical="center" wrapText="1"/>
    </xf>
    <xf numFmtId="0" fontId="8" fillId="3" borderId="31" xfId="1" applyFont="1" applyFill="1" applyBorder="1" applyAlignment="1" applyProtection="1">
      <alignment vertical="center"/>
      <protection hidden="1"/>
    </xf>
    <xf numFmtId="0" fontId="167" fillId="2" borderId="31" xfId="1" applyFont="1" applyFill="1" applyBorder="1" applyAlignment="1" applyProtection="1">
      <alignment horizontal="center" vertical="center"/>
      <protection hidden="1"/>
    </xf>
    <xf numFmtId="0" fontId="167" fillId="2" borderId="32" xfId="1" applyFont="1" applyFill="1" applyBorder="1" applyAlignment="1" applyProtection="1">
      <alignment horizontal="center" vertical="center"/>
      <protection hidden="1"/>
    </xf>
    <xf numFmtId="0" fontId="141" fillId="0" borderId="32" xfId="1" applyFont="1" applyBorder="1" applyProtection="1">
      <protection hidden="1"/>
    </xf>
    <xf numFmtId="0" fontId="141" fillId="0" borderId="51" xfId="1" applyFont="1" applyBorder="1" applyProtection="1">
      <protection hidden="1"/>
    </xf>
    <xf numFmtId="0" fontId="67" fillId="11" borderId="0" xfId="1" applyFont="1" applyFill="1" applyAlignment="1" applyProtection="1">
      <alignment horizontal="center" vertical="center"/>
      <protection hidden="1"/>
    </xf>
    <xf numFmtId="0" fontId="7" fillId="0" borderId="0" xfId="1" applyAlignment="1" applyProtection="1">
      <alignment horizontal="center" vertical="center"/>
      <protection hidden="1"/>
    </xf>
    <xf numFmtId="0" fontId="56" fillId="18" borderId="58" xfId="1" applyFont="1" applyFill="1" applyBorder="1" applyAlignment="1" applyProtection="1">
      <alignment horizontal="center" vertical="center" wrapText="1"/>
      <protection hidden="1"/>
    </xf>
    <xf numFmtId="0" fontId="56" fillId="18" borderId="59" xfId="1" applyFont="1" applyFill="1" applyBorder="1" applyAlignment="1" applyProtection="1">
      <alignment horizontal="center" vertical="center" wrapText="1"/>
      <protection hidden="1"/>
    </xf>
    <xf numFmtId="0" fontId="0" fillId="0" borderId="39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22" fillId="8" borderId="31" xfId="1" applyFont="1" applyFill="1" applyBorder="1" applyAlignment="1">
      <alignment horizontal="center" vertical="center"/>
    </xf>
    <xf numFmtId="0" fontId="22" fillId="8" borderId="32" xfId="1" applyFont="1" applyFill="1" applyBorder="1" applyAlignment="1">
      <alignment horizontal="center" vertical="center"/>
    </xf>
    <xf numFmtId="0" fontId="7" fillId="8" borderId="32" xfId="1" applyFill="1" applyBorder="1" applyAlignment="1">
      <alignment horizontal="center" vertical="center"/>
    </xf>
    <xf numFmtId="0" fontId="0" fillId="0" borderId="51" xfId="0" applyBorder="1"/>
    <xf numFmtId="0" fontId="18" fillId="14" borderId="27" xfId="1" applyFont="1" applyFill="1" applyBorder="1" applyAlignment="1" applyProtection="1">
      <alignment horizontal="center" vertical="center"/>
      <protection hidden="1"/>
    </xf>
    <xf numFmtId="0" fontId="18" fillId="14" borderId="61" xfId="0" applyFont="1" applyFill="1" applyBorder="1" applyAlignment="1">
      <alignment horizontal="center" vertical="center"/>
    </xf>
    <xf numFmtId="0" fontId="22" fillId="8" borderId="45" xfId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11" borderId="96" xfId="1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6" fillId="11" borderId="57" xfId="1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8" fillId="14" borderId="64" xfId="1" applyFont="1" applyFill="1" applyBorder="1" applyAlignment="1" applyProtection="1">
      <alignment horizontal="center" vertical="center"/>
      <protection hidden="1"/>
    </xf>
    <xf numFmtId="0" fontId="18" fillId="14" borderId="4" xfId="1" applyFont="1" applyFill="1" applyBorder="1" applyAlignment="1" applyProtection="1">
      <alignment horizontal="center" vertical="center"/>
      <protection hidden="1"/>
    </xf>
    <xf numFmtId="0" fontId="18" fillId="14" borderId="44" xfId="0" applyFont="1" applyFill="1" applyBorder="1" applyAlignment="1">
      <alignment horizontal="center" vertical="center"/>
    </xf>
    <xf numFmtId="0" fontId="18" fillId="14" borderId="5" xfId="1" applyFont="1" applyFill="1" applyBorder="1" applyAlignment="1" applyProtection="1">
      <alignment horizontal="center" vertical="center"/>
      <protection hidden="1"/>
    </xf>
    <xf numFmtId="0" fontId="18" fillId="14" borderId="42" xfId="0" applyFont="1" applyFill="1" applyBorder="1" applyAlignment="1">
      <alignment horizontal="center" vertical="center"/>
    </xf>
    <xf numFmtId="0" fontId="16" fillId="11" borderId="24" xfId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1" fillId="0" borderId="49" xfId="1" applyFont="1" applyBorder="1" applyAlignment="1">
      <alignment horizontal="center" vertical="center" wrapText="1"/>
    </xf>
    <xf numFmtId="0" fontId="41" fillId="0" borderId="58" xfId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2" fillId="8" borderId="49" xfId="0" applyFont="1" applyFill="1" applyBorder="1" applyAlignment="1">
      <alignment horizontal="center" vertical="center"/>
    </xf>
    <xf numFmtId="0" fontId="22" fillId="8" borderId="96" xfId="0" applyFont="1" applyFill="1" applyBorder="1" applyAlignment="1">
      <alignment horizontal="center" vertical="center"/>
    </xf>
    <xf numFmtId="0" fontId="22" fillId="8" borderId="58" xfId="0" applyFont="1" applyFill="1" applyBorder="1" applyAlignment="1">
      <alignment horizontal="center" vertical="center"/>
    </xf>
    <xf numFmtId="0" fontId="22" fillId="8" borderId="59" xfId="0" applyFont="1" applyFill="1" applyBorder="1" applyAlignment="1">
      <alignment horizontal="center" vertical="center"/>
    </xf>
    <xf numFmtId="0" fontId="18" fillId="3" borderId="31" xfId="0" applyFont="1" applyFill="1" applyBorder="1" applyAlignment="1" applyProtection="1">
      <alignment horizontal="left" vertical="center"/>
      <protection hidden="1"/>
    </xf>
    <xf numFmtId="0" fontId="0" fillId="0" borderId="51" xfId="0" applyBorder="1" applyAlignment="1">
      <alignment horizontal="left" vertical="center"/>
    </xf>
    <xf numFmtId="0" fontId="6" fillId="7" borderId="31" xfId="0" applyFont="1" applyFill="1" applyBorder="1" applyAlignment="1" applyProtection="1">
      <alignment horizontal="left" vertical="center" wrapText="1"/>
      <protection hidden="1"/>
    </xf>
    <xf numFmtId="0" fontId="0" fillId="7" borderId="51" xfId="0" applyFill="1" applyBorder="1" applyAlignment="1">
      <alignment horizontal="left" vertical="center" wrapText="1"/>
    </xf>
    <xf numFmtId="0" fontId="23" fillId="0" borderId="31" xfId="0" applyFont="1" applyBorder="1" applyAlignment="1" applyProtection="1">
      <alignment horizontal="center" vertical="center"/>
      <protection hidden="1"/>
    </xf>
    <xf numFmtId="0" fontId="0" fillId="0" borderId="3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7" fillId="11" borderId="45" xfId="0" applyFont="1" applyFill="1" applyBorder="1" applyAlignment="1" applyProtection="1">
      <alignment horizontal="center" vertical="center" wrapText="1"/>
      <protection hidden="1"/>
    </xf>
    <xf numFmtId="0" fontId="17" fillId="21" borderId="45" xfId="0" applyFont="1" applyFill="1" applyBorder="1" applyAlignment="1" applyProtection="1">
      <alignment horizontal="center" vertical="center" wrapText="1"/>
      <protection hidden="1"/>
    </xf>
    <xf numFmtId="0" fontId="0" fillId="21" borderId="53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21" borderId="60" xfId="0" applyFill="1" applyBorder="1" applyAlignment="1">
      <alignment horizontal="center" vertical="center" wrapText="1"/>
    </xf>
    <xf numFmtId="0" fontId="22" fillId="8" borderId="88" xfId="0" applyFont="1" applyFill="1" applyBorder="1" applyAlignment="1">
      <alignment horizontal="center" vertical="center"/>
    </xf>
    <xf numFmtId="0" fontId="22" fillId="8" borderId="70" xfId="0" applyFont="1" applyFill="1" applyBorder="1" applyAlignment="1">
      <alignment horizontal="center" vertical="center"/>
    </xf>
    <xf numFmtId="0" fontId="22" fillId="8" borderId="89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/>
      <protection hidden="1"/>
    </xf>
    <xf numFmtId="0" fontId="67" fillId="11" borderId="45" xfId="0" applyFont="1" applyFill="1" applyBorder="1" applyAlignment="1" applyProtection="1">
      <alignment horizontal="center" vertical="center"/>
      <protection hidden="1"/>
    </xf>
    <xf numFmtId="0" fontId="67" fillId="11" borderId="28" xfId="0" applyFont="1" applyFill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center" vertical="center"/>
      <protection hidden="1"/>
    </xf>
    <xf numFmtId="0" fontId="11" fillId="3" borderId="31" xfId="0" applyFont="1" applyFill="1" applyBorder="1" applyAlignment="1" applyProtection="1">
      <alignment horizontal="left" vertical="center"/>
      <protection hidden="1"/>
    </xf>
    <xf numFmtId="0" fontId="11" fillId="7" borderId="31" xfId="0" applyFont="1" applyFill="1" applyBorder="1" applyAlignment="1" applyProtection="1">
      <alignment horizontal="left" vertical="center"/>
      <protection hidden="1"/>
    </xf>
    <xf numFmtId="0" fontId="0" fillId="7" borderId="51" xfId="0" applyFill="1" applyBorder="1" applyAlignment="1">
      <alignment horizontal="left" vertical="center"/>
    </xf>
    <xf numFmtId="0" fontId="9" fillId="2" borderId="41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Protection="1">
      <protection hidden="1"/>
    </xf>
    <xf numFmtId="0" fontId="68" fillId="18" borderId="45" xfId="0" applyFont="1" applyFill="1" applyBorder="1" applyAlignment="1" applyProtection="1">
      <alignment horizontal="center" vertical="center"/>
      <protection hidden="1"/>
    </xf>
    <xf numFmtId="0" fontId="68" fillId="18" borderId="41" xfId="0" applyFont="1" applyFill="1" applyBorder="1" applyAlignment="1" applyProtection="1">
      <alignment horizontal="center" vertical="center"/>
      <protection hidden="1"/>
    </xf>
    <xf numFmtId="0" fontId="0" fillId="0" borderId="6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8" fillId="18" borderId="31" xfId="0" applyFont="1" applyFill="1" applyBorder="1" applyAlignment="1" applyProtection="1">
      <alignment horizontal="center" vertical="center"/>
      <protection hidden="1"/>
    </xf>
    <xf numFmtId="0" fontId="56" fillId="19" borderId="31" xfId="0" applyFont="1" applyFill="1" applyBorder="1" applyAlignment="1" applyProtection="1">
      <alignment horizontal="center" vertical="center"/>
      <protection hidden="1"/>
    </xf>
    <xf numFmtId="0" fontId="7" fillId="21" borderId="53" xfId="0" applyFont="1" applyFill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/>
    </xf>
    <xf numFmtId="0" fontId="10" fillId="11" borderId="47" xfId="0" applyFont="1" applyFill="1" applyBorder="1" applyAlignment="1" applyProtection="1">
      <alignment horizontal="center" vertical="center"/>
      <protection hidden="1"/>
    </xf>
    <xf numFmtId="0" fontId="0" fillId="0" borderId="47" xfId="0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51" fillId="18" borderId="45" xfId="0" applyFont="1" applyFill="1" applyBorder="1" applyAlignment="1" applyProtection="1">
      <alignment horizontal="center" vertical="center"/>
      <protection hidden="1"/>
    </xf>
    <xf numFmtId="0" fontId="51" fillId="18" borderId="41" xfId="0" applyFont="1" applyFill="1" applyBorder="1" applyAlignment="1" applyProtection="1">
      <alignment horizontal="center" vertical="center"/>
      <protection hidden="1"/>
    </xf>
    <xf numFmtId="0" fontId="51" fillId="18" borderId="45" xfId="0" applyFont="1" applyFill="1" applyBorder="1" applyAlignment="1" applyProtection="1">
      <alignment horizontal="center" vertical="center" wrapText="1"/>
      <protection hidden="1"/>
    </xf>
    <xf numFmtId="0" fontId="51" fillId="18" borderId="28" xfId="0" applyFont="1" applyFill="1" applyBorder="1" applyAlignment="1" applyProtection="1">
      <alignment horizontal="center" vertical="center" wrapText="1"/>
      <protection hidden="1"/>
    </xf>
    <xf numFmtId="0" fontId="51" fillId="18" borderId="41" xfId="0" applyFont="1" applyFill="1" applyBorder="1" applyAlignment="1" applyProtection="1">
      <alignment horizontal="center" vertical="center" wrapText="1"/>
      <protection hidden="1"/>
    </xf>
    <xf numFmtId="0" fontId="51" fillId="18" borderId="29" xfId="0" applyFont="1" applyFill="1" applyBorder="1" applyAlignment="1" applyProtection="1">
      <alignment horizontal="center" vertical="center" wrapText="1"/>
      <protection hidden="1"/>
    </xf>
    <xf numFmtId="0" fontId="0" fillId="0" borderId="60" xfId="0" applyBorder="1" applyAlignment="1">
      <alignment horizontal="center" vertical="center" wrapText="1"/>
    </xf>
    <xf numFmtId="0" fontId="51" fillId="18" borderId="51" xfId="0" applyFont="1" applyFill="1" applyBorder="1" applyAlignment="1" applyProtection="1">
      <alignment horizontal="center" vertical="center"/>
      <protection hidden="1"/>
    </xf>
    <xf numFmtId="0" fontId="51" fillId="18" borderId="30" xfId="0" applyFont="1" applyFill="1" applyBorder="1" applyAlignment="1" applyProtection="1">
      <alignment horizontal="center" vertical="center"/>
      <protection hidden="1"/>
    </xf>
    <xf numFmtId="0" fontId="10" fillId="7" borderId="31" xfId="0" applyFont="1" applyFill="1" applyBorder="1" applyAlignment="1" applyProtection="1">
      <alignment horizontal="left" vertical="center" wrapText="1"/>
      <protection hidden="1"/>
    </xf>
    <xf numFmtId="0" fontId="0" fillId="0" borderId="51" xfId="0" applyBorder="1" applyAlignment="1">
      <alignment horizontal="left" vertical="center" wrapText="1"/>
    </xf>
    <xf numFmtId="0" fontId="67" fillId="0" borderId="41" xfId="0" applyFont="1" applyBorder="1" applyAlignment="1" applyProtection="1">
      <alignment horizontal="center" vertical="center"/>
      <protection hidden="1"/>
    </xf>
    <xf numFmtId="0" fontId="67" fillId="0" borderId="29" xfId="0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60" xfId="0" applyFont="1" applyBorder="1" applyAlignment="1" applyProtection="1">
      <alignment horizontal="center" vertical="center"/>
      <protection hidden="1"/>
    </xf>
    <xf numFmtId="0" fontId="8" fillId="4" borderId="31" xfId="0" applyFont="1" applyFill="1" applyBorder="1" applyAlignment="1" applyProtection="1">
      <alignment horizontal="left" vertical="center"/>
      <protection hidden="1"/>
    </xf>
    <xf numFmtId="0" fontId="7" fillId="0" borderId="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1" fillId="18" borderId="17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>
      <alignment horizontal="center" vertical="center" wrapText="1"/>
    </xf>
    <xf numFmtId="0" fontId="51" fillId="18" borderId="14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10" fillId="11" borderId="8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 wrapText="1"/>
    </xf>
    <xf numFmtId="0" fontId="10" fillId="11" borderId="14" xfId="0" applyFont="1" applyFill="1" applyBorder="1" applyAlignment="1" applyProtection="1">
      <alignment horizontal="center" vertical="center" wrapText="1"/>
      <protection hidden="1"/>
    </xf>
    <xf numFmtId="0" fontId="19" fillId="0" borderId="35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56" fillId="18" borderId="45" xfId="0" applyFont="1" applyFill="1" applyBorder="1" applyAlignment="1" applyProtection="1">
      <alignment horizontal="center" vertical="center"/>
      <protection hidden="1"/>
    </xf>
    <xf numFmtId="0" fontId="0" fillId="0" borderId="70" xfId="0" applyBorder="1" applyAlignment="1">
      <alignment horizontal="center" vertical="center"/>
    </xf>
    <xf numFmtId="0" fontId="56" fillId="18" borderId="41" xfId="0" applyFont="1" applyFill="1" applyBorder="1" applyAlignment="1" applyProtection="1">
      <alignment horizontal="center" vertical="center"/>
      <protection hidden="1"/>
    </xf>
    <xf numFmtId="0" fontId="0" fillId="0" borderId="90" xfId="0" applyBorder="1" applyAlignment="1">
      <alignment horizontal="center" vertical="center"/>
    </xf>
    <xf numFmtId="0" fontId="6" fillId="11" borderId="4" xfId="0" applyFont="1" applyFill="1" applyBorder="1" applyAlignment="1" applyProtection="1">
      <alignment horizontal="left" vertical="center" wrapText="1"/>
      <protection hidden="1"/>
    </xf>
    <xf numFmtId="0" fontId="0" fillId="0" borderId="23" xfId="0" applyBorder="1" applyAlignment="1">
      <alignment horizontal="left" vertical="center" wrapText="1"/>
    </xf>
    <xf numFmtId="0" fontId="6" fillId="11" borderId="5" xfId="0" applyFont="1" applyFill="1" applyBorder="1" applyAlignment="1" applyProtection="1">
      <alignment horizontal="left" vertical="center" wrapText="1"/>
      <protection hidden="1"/>
    </xf>
    <xf numFmtId="0" fontId="0" fillId="0" borderId="24" xfId="0" applyBorder="1" applyAlignment="1">
      <alignment horizontal="left" vertical="center" wrapText="1"/>
    </xf>
    <xf numFmtId="0" fontId="9" fillId="2" borderId="21" xfId="0" applyFont="1" applyFill="1" applyBorder="1" applyAlignment="1" applyProtection="1">
      <alignment horizontal="center" vertical="center"/>
      <protection hidden="1"/>
    </xf>
    <xf numFmtId="0" fontId="9" fillId="2" borderId="55" xfId="0" applyFont="1" applyFill="1" applyBorder="1" applyAlignment="1" applyProtection="1">
      <alignment horizontal="center" vertical="center"/>
      <protection hidden="1"/>
    </xf>
    <xf numFmtId="0" fontId="0" fillId="0" borderId="55" xfId="0" applyBorder="1" applyProtection="1">
      <protection hidden="1"/>
    </xf>
    <xf numFmtId="0" fontId="0" fillId="0" borderId="24" xfId="0" applyBorder="1" applyProtection="1">
      <protection hidden="1"/>
    </xf>
    <xf numFmtId="0" fontId="19" fillId="0" borderId="8" xfId="0" applyFont="1" applyBorder="1" applyAlignment="1">
      <alignment horizontal="left" vertical="center"/>
    </xf>
    <xf numFmtId="0" fontId="22" fillId="8" borderId="6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0" fillId="8" borderId="28" xfId="0" applyFill="1" applyBorder="1"/>
    <xf numFmtId="0" fontId="0" fillId="8" borderId="70" xfId="0" applyFill="1" applyBorder="1"/>
    <xf numFmtId="0" fontId="51" fillId="18" borderId="88" xfId="0" applyFont="1" applyFill="1" applyBorder="1" applyAlignment="1" applyProtection="1">
      <alignment horizontal="center" vertical="center"/>
      <protection hidden="1"/>
    </xf>
    <xf numFmtId="0" fontId="53" fillId="18" borderId="91" xfId="0" applyFont="1" applyFill="1" applyBorder="1" applyAlignment="1" applyProtection="1">
      <alignment vertical="center"/>
      <protection hidden="1"/>
    </xf>
    <xf numFmtId="0" fontId="51" fillId="18" borderId="31" xfId="0" applyFont="1" applyFill="1" applyBorder="1" applyAlignment="1" applyProtection="1">
      <alignment horizontal="center" vertical="center"/>
      <protection hidden="1"/>
    </xf>
    <xf numFmtId="0" fontId="18" fillId="3" borderId="47" xfId="0" applyFont="1" applyFill="1" applyBorder="1" applyAlignment="1" applyProtection="1">
      <alignment horizontal="center" vertical="center"/>
      <protection hidden="1"/>
    </xf>
    <xf numFmtId="0" fontId="67" fillId="0" borderId="65" xfId="0" applyFont="1" applyBorder="1" applyAlignment="1" applyProtection="1">
      <alignment horizontal="center" vertical="center" wrapText="1"/>
      <protection hidden="1"/>
    </xf>
    <xf numFmtId="0" fontId="67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66" xfId="0" applyBorder="1" applyAlignment="1" applyProtection="1">
      <alignment wrapText="1"/>
      <protection hidden="1"/>
    </xf>
    <xf numFmtId="0" fontId="6" fillId="7" borderId="49" xfId="0" applyFont="1" applyFill="1" applyBorder="1" applyAlignment="1" applyProtection="1">
      <alignment horizontal="center" vertical="center" wrapText="1"/>
      <protection hidden="1"/>
    </xf>
    <xf numFmtId="0" fontId="6" fillId="7" borderId="59" xfId="0" applyFont="1" applyFill="1" applyBorder="1" applyAlignment="1" applyProtection="1">
      <alignment horizontal="center" vertical="center" wrapText="1"/>
      <protection hidden="1"/>
    </xf>
    <xf numFmtId="0" fontId="6" fillId="6" borderId="49" xfId="0" applyFont="1" applyFill="1" applyBorder="1" applyAlignment="1" applyProtection="1">
      <alignment horizontal="center" vertical="center" wrapText="1"/>
      <protection hidden="1"/>
    </xf>
    <xf numFmtId="0" fontId="6" fillId="6" borderId="59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7" borderId="19" xfId="0" applyFont="1" applyFill="1" applyBorder="1" applyAlignment="1" applyProtection="1">
      <alignment horizontal="center" vertical="center" wrapText="1"/>
      <protection hidden="1"/>
    </xf>
    <xf numFmtId="0" fontId="6" fillId="7" borderId="92" xfId="0" applyFont="1" applyFill="1" applyBorder="1" applyAlignment="1" applyProtection="1">
      <alignment horizontal="center" vertical="center" wrapText="1"/>
      <protection hidden="1"/>
    </xf>
    <xf numFmtId="0" fontId="6" fillId="7" borderId="93" xfId="0" applyFont="1" applyFill="1" applyBorder="1" applyAlignment="1" applyProtection="1">
      <alignment horizontal="center" vertical="center" wrapText="1"/>
      <protection hidden="1"/>
    </xf>
    <xf numFmtId="0" fontId="6" fillId="7" borderId="94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11" fillId="6" borderId="31" xfId="0" applyFont="1" applyFill="1" applyBorder="1" applyAlignment="1" applyProtection="1">
      <alignment horizontal="left" vertical="center"/>
      <protection hidden="1"/>
    </xf>
    <xf numFmtId="0" fontId="11" fillId="7" borderId="65" xfId="0" applyFont="1" applyFill="1" applyBorder="1" applyAlignment="1" applyProtection="1">
      <alignment horizontal="left" vertical="center"/>
      <protection hidden="1"/>
    </xf>
    <xf numFmtId="0" fontId="0" fillId="0" borderId="32" xfId="0" applyBorder="1" applyAlignment="1">
      <alignment horizontal="left" vertical="center"/>
    </xf>
    <xf numFmtId="0" fontId="22" fillId="8" borderId="46" xfId="0" applyFont="1" applyFill="1" applyBorder="1" applyAlignment="1">
      <alignment horizontal="center" vertical="center"/>
    </xf>
    <xf numFmtId="0" fontId="0" fillId="0" borderId="0" xfId="0"/>
    <xf numFmtId="0" fontId="3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11" borderId="9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/>
    <xf numFmtId="0" fontId="16" fillId="0" borderId="8" xfId="0" applyFont="1" applyBorder="1" applyAlignment="1">
      <alignment wrapText="1"/>
    </xf>
    <xf numFmtId="0" fontId="36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3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8" fillId="0" borderId="24" xfId="0" applyFont="1" applyBorder="1" applyAlignment="1" applyProtection="1">
      <alignment horizontal="center" vertical="center"/>
      <protection hidden="1"/>
    </xf>
    <xf numFmtId="0" fontId="48" fillId="0" borderId="14" xfId="0" applyFont="1" applyBorder="1" applyAlignment="1" applyProtection="1">
      <alignment horizontal="center" vertical="center"/>
      <protection hidden="1"/>
    </xf>
    <xf numFmtId="0" fontId="48" fillId="0" borderId="16" xfId="0" applyFont="1" applyBorder="1" applyAlignment="1" applyProtection="1">
      <alignment horizontal="center" vertical="center"/>
      <protection hidden="1"/>
    </xf>
    <xf numFmtId="0" fontId="52" fillId="18" borderId="28" xfId="0" applyFont="1" applyFill="1" applyBorder="1" applyAlignment="1" applyProtection="1">
      <alignment horizontal="center" vertical="center" wrapText="1"/>
      <protection hidden="1"/>
    </xf>
    <xf numFmtId="0" fontId="52" fillId="18" borderId="41" xfId="0" applyFont="1" applyFill="1" applyBorder="1" applyAlignment="1" applyProtection="1">
      <alignment horizontal="center" vertical="center" wrapText="1"/>
      <protection hidden="1"/>
    </xf>
    <xf numFmtId="0" fontId="52" fillId="18" borderId="29" xfId="0" applyFont="1" applyFill="1" applyBorder="1" applyAlignment="1" applyProtection="1">
      <alignment horizontal="center" vertical="center" wrapText="1"/>
      <protection hidden="1"/>
    </xf>
    <xf numFmtId="0" fontId="48" fillId="0" borderId="57" xfId="0" applyFont="1" applyBorder="1" applyAlignment="1" applyProtection="1">
      <alignment horizontal="center" vertical="center"/>
      <protection hidden="1"/>
    </xf>
    <xf numFmtId="0" fontId="48" fillId="0" borderId="47" xfId="0" applyFont="1" applyBorder="1" applyAlignment="1" applyProtection="1">
      <alignment horizontal="center" vertical="center"/>
      <protection hidden="1"/>
    </xf>
    <xf numFmtId="0" fontId="10" fillId="6" borderId="31" xfId="0" applyFont="1" applyFill="1" applyBorder="1" applyAlignment="1" applyProtection="1">
      <alignment horizontal="center" vertical="center" wrapText="1"/>
      <protection hidden="1"/>
    </xf>
    <xf numFmtId="0" fontId="10" fillId="6" borderId="32" xfId="0" applyFont="1" applyFill="1" applyBorder="1" applyAlignment="1" applyProtection="1">
      <alignment horizontal="center" vertical="center" wrapText="1"/>
      <protection hidden="1"/>
    </xf>
    <xf numFmtId="0" fontId="10" fillId="6" borderId="51" xfId="0" applyFont="1" applyFill="1" applyBorder="1" applyAlignment="1" applyProtection="1">
      <alignment horizontal="center" vertical="center" wrapText="1"/>
      <protection hidden="1"/>
    </xf>
    <xf numFmtId="0" fontId="55" fillId="18" borderId="68" xfId="0" applyFont="1" applyFill="1" applyBorder="1" applyAlignment="1" applyProtection="1">
      <alignment horizontal="center" vertical="center"/>
      <protection hidden="1"/>
    </xf>
    <xf numFmtId="0" fontId="48" fillId="0" borderId="18" xfId="0" applyFont="1" applyBorder="1" applyAlignment="1" applyProtection="1">
      <alignment horizontal="center" vertical="center"/>
      <protection hidden="1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8" fillId="0" borderId="15" xfId="0" applyFont="1" applyBorder="1" applyAlignment="1" applyProtection="1">
      <alignment horizontal="center" vertical="center"/>
      <protection hidden="1"/>
    </xf>
    <xf numFmtId="0" fontId="0" fillId="0" borderId="40" xfId="0" applyBorder="1" applyAlignment="1">
      <alignment horizontal="center" vertical="center"/>
    </xf>
    <xf numFmtId="0" fontId="48" fillId="0" borderId="22" xfId="0" applyFont="1" applyBorder="1" applyAlignment="1" applyProtection="1">
      <alignment horizontal="center" vertical="center"/>
      <protection hidden="1"/>
    </xf>
    <xf numFmtId="0" fontId="48" fillId="0" borderId="1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51" fillId="18" borderId="31" xfId="0" applyFont="1" applyFill="1" applyBorder="1" applyAlignment="1" applyProtection="1">
      <alignment horizontal="center" vertical="center" wrapText="1"/>
      <protection hidden="1"/>
    </xf>
    <xf numFmtId="0" fontId="53" fillId="18" borderId="32" xfId="0" applyFont="1" applyFill="1" applyBorder="1" applyAlignment="1" applyProtection="1">
      <alignment horizontal="center" vertical="center" wrapText="1"/>
      <protection hidden="1"/>
    </xf>
    <xf numFmtId="0" fontId="53" fillId="18" borderId="51" xfId="0" applyFont="1" applyFill="1" applyBorder="1" applyAlignment="1" applyProtection="1">
      <alignment horizontal="center" vertical="center" wrapText="1"/>
      <protection hidden="1"/>
    </xf>
    <xf numFmtId="0" fontId="30" fillId="8" borderId="46" xfId="0" applyFont="1" applyFill="1" applyBorder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0" fontId="69" fillId="0" borderId="0" xfId="0" applyFont="1" applyAlignment="1" applyProtection="1">
      <alignment horizontal="center" vertical="center" wrapText="1"/>
      <protection hidden="1"/>
    </xf>
    <xf numFmtId="0" fontId="48" fillId="0" borderId="10" xfId="0" applyFont="1" applyBorder="1" applyAlignment="1" applyProtection="1">
      <alignment horizontal="center" vertical="center"/>
      <protection hidden="1"/>
    </xf>
    <xf numFmtId="0" fontId="48" fillId="0" borderId="26" xfId="0" applyFont="1" applyBorder="1" applyAlignment="1" applyProtection="1">
      <alignment horizontal="center" vertical="center"/>
      <protection hidden="1"/>
    </xf>
    <xf numFmtId="0" fontId="51" fillId="18" borderId="53" xfId="0" applyFont="1" applyFill="1" applyBorder="1" applyAlignment="1" applyProtection="1">
      <alignment horizontal="center" vertical="center" wrapText="1"/>
      <protection hidden="1"/>
    </xf>
    <xf numFmtId="0" fontId="53" fillId="18" borderId="41" xfId="0" applyFont="1" applyFill="1" applyBorder="1" applyAlignment="1" applyProtection="1">
      <alignment horizontal="center" vertical="center" wrapText="1"/>
      <protection hidden="1"/>
    </xf>
    <xf numFmtId="0" fontId="53" fillId="18" borderId="29" xfId="0" applyFont="1" applyFill="1" applyBorder="1" applyAlignment="1" applyProtection="1">
      <alignment horizontal="center" vertical="center" wrapText="1"/>
      <protection hidden="1"/>
    </xf>
    <xf numFmtId="0" fontId="53" fillId="18" borderId="60" xfId="0" applyFont="1" applyFill="1" applyBorder="1" applyAlignment="1" applyProtection="1">
      <alignment horizontal="center" vertical="center" wrapText="1"/>
      <protection hidden="1"/>
    </xf>
    <xf numFmtId="0" fontId="54" fillId="18" borderId="49" xfId="0" applyFont="1" applyFill="1" applyBorder="1" applyAlignment="1" applyProtection="1">
      <alignment horizontal="center"/>
      <protection hidden="1"/>
    </xf>
    <xf numFmtId="0" fontId="54" fillId="18" borderId="58" xfId="0" applyFont="1" applyFill="1" applyBorder="1" applyAlignment="1" applyProtection="1">
      <alignment horizontal="center"/>
      <protection hidden="1"/>
    </xf>
    <xf numFmtId="0" fontId="54" fillId="18" borderId="59" xfId="0" applyFont="1" applyFill="1" applyBorder="1" applyAlignment="1" applyProtection="1">
      <alignment horizontal="center"/>
      <protection hidden="1"/>
    </xf>
    <xf numFmtId="0" fontId="55" fillId="18" borderId="49" xfId="0" applyFont="1" applyFill="1" applyBorder="1" applyAlignment="1" applyProtection="1">
      <alignment horizontal="center" vertical="center"/>
      <protection hidden="1"/>
    </xf>
    <xf numFmtId="0" fontId="55" fillId="18" borderId="58" xfId="0" applyFont="1" applyFill="1" applyBorder="1" applyAlignment="1" applyProtection="1">
      <alignment horizontal="center" vertical="center"/>
      <protection hidden="1"/>
    </xf>
    <xf numFmtId="0" fontId="55" fillId="18" borderId="59" xfId="0" applyFont="1" applyFill="1" applyBorder="1" applyAlignment="1" applyProtection="1">
      <alignment horizontal="center" vertical="center"/>
      <protection hidden="1"/>
    </xf>
    <xf numFmtId="0" fontId="10" fillId="7" borderId="31" xfId="0" applyFont="1" applyFill="1" applyBorder="1" applyAlignment="1" applyProtection="1">
      <alignment horizontal="center" vertical="center" wrapText="1"/>
      <protection hidden="1"/>
    </xf>
    <xf numFmtId="0" fontId="10" fillId="7" borderId="32" xfId="0" applyFont="1" applyFill="1" applyBorder="1" applyAlignment="1" applyProtection="1">
      <alignment horizontal="center" vertical="center" wrapText="1"/>
      <protection hidden="1"/>
    </xf>
    <xf numFmtId="0" fontId="10" fillId="7" borderId="51" xfId="0" applyFont="1" applyFill="1" applyBorder="1" applyAlignment="1" applyProtection="1">
      <alignment horizontal="center" vertical="center" wrapText="1"/>
      <protection hidden="1"/>
    </xf>
    <xf numFmtId="0" fontId="61" fillId="8" borderId="45" xfId="0" applyFont="1" applyFill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 wrapText="1"/>
    </xf>
    <xf numFmtId="0" fontId="61" fillId="0" borderId="53" xfId="0" applyFont="1" applyBorder="1" applyAlignment="1">
      <alignment horizontal="center" vertical="center" wrapText="1"/>
    </xf>
    <xf numFmtId="0" fontId="171" fillId="8" borderId="45" xfId="0" applyFont="1" applyFill="1" applyBorder="1" applyAlignment="1">
      <alignment horizontal="center" vertical="center" wrapText="1"/>
    </xf>
    <xf numFmtId="0" fontId="70" fillId="0" borderId="28" xfId="0" applyFont="1" applyBorder="1" applyAlignment="1">
      <alignment horizontal="center" vertical="center" wrapText="1"/>
    </xf>
    <xf numFmtId="0" fontId="70" fillId="0" borderId="53" xfId="0" applyFont="1" applyBorder="1" applyAlignment="1">
      <alignment horizontal="center" vertical="center" wrapText="1"/>
    </xf>
    <xf numFmtId="0" fontId="154" fillId="16" borderId="4" xfId="0" applyFont="1" applyFill="1" applyBorder="1" applyAlignment="1">
      <alignment horizontal="left" vertical="center" wrapText="1"/>
    </xf>
    <xf numFmtId="0" fontId="154" fillId="16" borderId="39" xfId="0" applyFont="1" applyFill="1" applyBorder="1" applyAlignment="1">
      <alignment horizontal="left" vertical="center" wrapText="1"/>
    </xf>
    <xf numFmtId="0" fontId="154" fillId="16" borderId="23" xfId="0" applyFont="1" applyFill="1" applyBorder="1" applyAlignment="1">
      <alignment horizontal="left" vertical="center" wrapText="1"/>
    </xf>
    <xf numFmtId="0" fontId="151" fillId="0" borderId="4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61" fillId="8" borderId="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wrapText="1"/>
    </xf>
    <xf numFmtId="0" fontId="34" fillId="0" borderId="43" xfId="0" applyFont="1" applyBorder="1" applyAlignment="1">
      <alignment wrapText="1"/>
    </xf>
    <xf numFmtId="0" fontId="154" fillId="16" borderId="9" xfId="0" applyFont="1" applyFill="1" applyBorder="1" applyAlignment="1">
      <alignment horizontal="left" vertical="center" wrapText="1"/>
    </xf>
    <xf numFmtId="0" fontId="56" fillId="18" borderId="31" xfId="0" applyFont="1" applyFill="1" applyBorder="1" applyAlignment="1" applyProtection="1">
      <alignment horizontal="center" vertical="center" wrapText="1"/>
      <protection hidden="1"/>
    </xf>
    <xf numFmtId="0" fontId="15" fillId="3" borderId="31" xfId="0" applyFont="1" applyFill="1" applyBorder="1" applyAlignment="1" applyProtection="1">
      <alignment horizontal="left" vertical="center" wrapText="1"/>
      <protection hidden="1"/>
    </xf>
    <xf numFmtId="0" fontId="15" fillId="3" borderId="32" xfId="0" applyFont="1" applyFill="1" applyBorder="1" applyAlignment="1" applyProtection="1">
      <alignment horizontal="left" vertical="center" wrapText="1"/>
      <protection hidden="1"/>
    </xf>
    <xf numFmtId="0" fontId="15" fillId="3" borderId="51" xfId="0" applyFont="1" applyFill="1" applyBorder="1" applyAlignment="1" applyProtection="1">
      <alignment horizontal="left" vertical="center" wrapText="1"/>
      <protection hidden="1"/>
    </xf>
    <xf numFmtId="0" fontId="15" fillId="7" borderId="31" xfId="0" applyFont="1" applyFill="1" applyBorder="1" applyAlignment="1" applyProtection="1">
      <alignment horizontal="left" vertical="center"/>
      <protection hidden="1"/>
    </xf>
    <xf numFmtId="0" fontId="15" fillId="7" borderId="32" xfId="0" applyFont="1" applyFill="1" applyBorder="1" applyAlignment="1" applyProtection="1">
      <alignment horizontal="left" vertical="center"/>
      <protection hidden="1"/>
    </xf>
    <xf numFmtId="0" fontId="15" fillId="7" borderId="51" xfId="0" applyFont="1" applyFill="1" applyBorder="1" applyAlignment="1" applyProtection="1">
      <alignment horizontal="left" vertical="center"/>
      <protection hidden="1"/>
    </xf>
    <xf numFmtId="0" fontId="35" fillId="0" borderId="46" xfId="0" applyFont="1" applyBorder="1" applyAlignment="1" applyProtection="1">
      <alignment horizontal="left" vertical="center"/>
      <protection hidden="1"/>
    </xf>
    <xf numFmtId="0" fontId="0" fillId="0" borderId="46" xfId="0" applyBorder="1" applyAlignment="1" applyProtection="1">
      <alignment horizontal="left" vertical="center"/>
      <protection hidden="1"/>
    </xf>
    <xf numFmtId="0" fontId="152" fillId="16" borderId="4" xfId="0" applyFont="1" applyFill="1" applyBorder="1" applyAlignment="1">
      <alignment horizontal="left" vertical="center" wrapText="1"/>
    </xf>
    <xf numFmtId="0" fontId="152" fillId="16" borderId="23" xfId="0" applyFont="1" applyFill="1" applyBorder="1" applyAlignment="1">
      <alignment horizontal="left" vertical="center" wrapText="1"/>
    </xf>
    <xf numFmtId="0" fontId="154" fillId="16" borderId="44" xfId="0" applyFont="1" applyFill="1" applyBorder="1" applyAlignment="1">
      <alignment horizontal="left" vertical="center" wrapText="1"/>
    </xf>
    <xf numFmtId="0" fontId="18" fillId="6" borderId="31" xfId="0" applyFont="1" applyFill="1" applyBorder="1" applyAlignment="1" applyProtection="1">
      <alignment horizontal="left" vertical="center" wrapText="1"/>
      <protection hidden="1"/>
    </xf>
    <xf numFmtId="0" fontId="17" fillId="0" borderId="32" xfId="0" applyFont="1" applyBorder="1" applyAlignment="1" applyProtection="1">
      <alignment wrapText="1"/>
      <protection hidden="1"/>
    </xf>
    <xf numFmtId="0" fontId="17" fillId="0" borderId="51" xfId="0" applyFont="1" applyBorder="1" applyAlignment="1" applyProtection="1">
      <alignment wrapText="1"/>
      <protection hidden="1"/>
    </xf>
    <xf numFmtId="0" fontId="170" fillId="8" borderId="31" xfId="0" applyFont="1" applyFill="1" applyBorder="1" applyAlignment="1">
      <alignment horizontal="center" vertical="center"/>
    </xf>
    <xf numFmtId="0" fontId="70" fillId="0" borderId="32" xfId="0" applyFont="1" applyBorder="1" applyAlignment="1">
      <alignment horizontal="center" vertical="center"/>
    </xf>
    <xf numFmtId="0" fontId="70" fillId="0" borderId="32" xfId="0" applyFont="1" applyBorder="1"/>
    <xf numFmtId="0" fontId="70" fillId="0" borderId="51" xfId="0" applyFont="1" applyBorder="1"/>
    <xf numFmtId="0" fontId="155" fillId="11" borderId="64" xfId="0" applyFont="1" applyFill="1" applyBorder="1" applyAlignment="1" applyProtection="1">
      <alignment horizontal="center" textRotation="90" wrapText="1"/>
      <protection hidden="1"/>
    </xf>
    <xf numFmtId="0" fontId="156" fillId="11" borderId="64" xfId="0" applyFont="1" applyFill="1" applyBorder="1" applyAlignment="1" applyProtection="1">
      <alignment horizontal="center" textRotation="90" wrapText="1"/>
      <protection hidden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53" fillId="0" borderId="46" xfId="0" applyFont="1" applyBorder="1" applyAlignment="1" applyProtection="1">
      <alignment vertical="center" wrapText="1"/>
      <protection hidden="1"/>
    </xf>
    <xf numFmtId="0" fontId="53" fillId="0" borderId="41" xfId="0" applyFont="1" applyBorder="1" applyAlignment="1" applyProtection="1">
      <alignment vertical="center" wrapText="1"/>
      <protection hidden="1"/>
    </xf>
    <xf numFmtId="0" fontId="119" fillId="0" borderId="28" xfId="0" applyFont="1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/>
      <protection hidden="1"/>
    </xf>
    <xf numFmtId="0" fontId="15" fillId="6" borderId="31" xfId="0" applyFont="1" applyFill="1" applyBorder="1" applyAlignment="1" applyProtection="1">
      <alignment horizontal="left" vertical="center"/>
      <protection hidden="1"/>
    </xf>
    <xf numFmtId="0" fontId="70" fillId="0" borderId="32" xfId="0" applyFont="1" applyBorder="1" applyProtection="1">
      <protection hidden="1"/>
    </xf>
    <xf numFmtId="0" fontId="70" fillId="0" borderId="51" xfId="0" applyFont="1" applyBorder="1" applyProtection="1">
      <protection hidden="1"/>
    </xf>
    <xf numFmtId="0" fontId="15" fillId="7" borderId="31" xfId="0" applyFont="1" applyFill="1" applyBorder="1" applyAlignment="1" applyProtection="1">
      <alignment horizontal="left" vertical="center" wrapText="1"/>
      <protection hidden="1"/>
    </xf>
    <xf numFmtId="0" fontId="0" fillId="0" borderId="32" xfId="0" applyBorder="1" applyAlignment="1">
      <alignment horizontal="left" vertical="center" wrapText="1"/>
    </xf>
    <xf numFmtId="0" fontId="65" fillId="0" borderId="39" xfId="0" applyFont="1" applyBorder="1" applyAlignment="1">
      <alignment horizontal="center" vertical="center" wrapText="1"/>
    </xf>
    <xf numFmtId="0" fontId="65" fillId="0" borderId="44" xfId="0" applyFont="1" applyBorder="1" applyAlignment="1">
      <alignment horizontal="center" vertical="center" wrapText="1"/>
    </xf>
    <xf numFmtId="0" fontId="35" fillId="0" borderId="54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6" fillId="0" borderId="9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80" fillId="32" borderId="45" xfId="2" applyFont="1" applyFill="1" applyBorder="1" applyAlignment="1" applyProtection="1">
      <alignment horizontal="center" vertical="center" wrapText="1"/>
      <protection hidden="1"/>
    </xf>
    <xf numFmtId="0" fontId="169" fillId="32" borderId="28" xfId="0" applyFont="1" applyFill="1" applyBorder="1" applyAlignment="1">
      <alignment horizontal="center" wrapText="1"/>
    </xf>
    <xf numFmtId="0" fontId="169" fillId="32" borderId="53" xfId="0" applyFont="1" applyFill="1" applyBorder="1" applyAlignment="1">
      <alignment horizontal="center" wrapText="1"/>
    </xf>
    <xf numFmtId="0" fontId="169" fillId="32" borderId="41" xfId="0" applyFont="1" applyFill="1" applyBorder="1" applyAlignment="1">
      <alignment horizontal="center" wrapText="1"/>
    </xf>
    <xf numFmtId="0" fontId="169" fillId="32" borderId="29" xfId="0" applyFont="1" applyFill="1" applyBorder="1" applyAlignment="1">
      <alignment horizontal="center" wrapText="1"/>
    </xf>
    <xf numFmtId="0" fontId="169" fillId="32" borderId="60" xfId="0" applyFont="1" applyFill="1" applyBorder="1" applyAlignment="1">
      <alignment horizontal="center" wrapText="1"/>
    </xf>
    <xf numFmtId="0" fontId="77" fillId="0" borderId="8" xfId="2" applyFont="1" applyBorder="1" applyAlignment="1" applyProtection="1">
      <alignment horizontal="left" vertical="center" wrapText="1"/>
      <protection hidden="1"/>
    </xf>
    <xf numFmtId="0" fontId="77" fillId="0" borderId="8" xfId="2" applyFont="1" applyBorder="1" applyAlignment="1">
      <alignment horizontal="left" vertical="center" wrapText="1"/>
    </xf>
    <xf numFmtId="0" fontId="76" fillId="0" borderId="8" xfId="2" applyFont="1" applyBorder="1" applyAlignment="1">
      <alignment horizontal="left" vertical="center" wrapText="1"/>
    </xf>
    <xf numFmtId="0" fontId="76" fillId="0" borderId="8" xfId="2" applyFont="1" applyBorder="1" applyAlignment="1" applyProtection="1">
      <alignment vertical="center" wrapText="1"/>
      <protection hidden="1"/>
    </xf>
    <xf numFmtId="0" fontId="76" fillId="0" borderId="8" xfId="2" applyFont="1" applyBorder="1" applyAlignment="1">
      <alignment vertical="center" wrapText="1"/>
    </xf>
    <xf numFmtId="0" fontId="76" fillId="0" borderId="0" xfId="2" applyFont="1" applyAlignment="1" applyProtection="1">
      <alignment vertical="center" wrapText="1"/>
      <protection hidden="1"/>
    </xf>
    <xf numFmtId="0" fontId="76" fillId="0" borderId="0" xfId="2" applyFont="1" applyAlignment="1">
      <alignment vertical="center" wrapText="1"/>
    </xf>
    <xf numFmtId="0" fontId="77" fillId="0" borderId="0" xfId="2" applyFont="1" applyAlignment="1" applyProtection="1">
      <alignment horizontal="left" vertical="center" wrapText="1"/>
      <protection hidden="1"/>
    </xf>
    <xf numFmtId="0" fontId="77" fillId="0" borderId="0" xfId="2" applyFont="1" applyAlignment="1">
      <alignment horizontal="left" vertical="center" wrapText="1"/>
    </xf>
    <xf numFmtId="0" fontId="76" fillId="0" borderId="0" xfId="2" applyFont="1" applyAlignment="1">
      <alignment horizontal="left" vertical="center" wrapText="1"/>
    </xf>
    <xf numFmtId="0" fontId="75" fillId="0" borderId="0" xfId="2" applyFont="1" applyAlignment="1" applyProtection="1">
      <alignment horizontal="left" vertical="center" wrapText="1"/>
      <protection hidden="1"/>
    </xf>
    <xf numFmtId="0" fontId="80" fillId="11" borderId="0" xfId="2" applyFont="1" applyFill="1" applyAlignment="1" applyProtection="1">
      <alignment horizontal="left" wrapText="1"/>
      <protection hidden="1"/>
    </xf>
    <xf numFmtId="0" fontId="80" fillId="11" borderId="0" xfId="2" applyFont="1" applyFill="1" applyAlignment="1">
      <alignment horizontal="left" wrapText="1"/>
    </xf>
    <xf numFmtId="0" fontId="73" fillId="11" borderId="0" xfId="2" applyFill="1" applyAlignment="1">
      <alignment horizontal="left" wrapText="1"/>
    </xf>
    <xf numFmtId="0" fontId="89" fillId="23" borderId="8" xfId="2" applyFont="1" applyFill="1" applyBorder="1" applyAlignment="1" applyProtection="1">
      <alignment horizontal="center" vertical="center" wrapText="1"/>
      <protection locked="0"/>
    </xf>
    <xf numFmtId="0" fontId="85" fillId="21" borderId="0" xfId="2" applyFont="1" applyFill="1" applyAlignment="1" applyProtection="1">
      <alignment horizontal="left" vertical="center" wrapText="1"/>
      <protection hidden="1"/>
    </xf>
    <xf numFmtId="0" fontId="81" fillId="11" borderId="0" xfId="2" applyFont="1" applyFill="1" applyAlignment="1" applyProtection="1">
      <alignment horizontal="left" vertical="center" wrapText="1"/>
      <protection hidden="1"/>
    </xf>
    <xf numFmtId="0" fontId="83" fillId="21" borderId="66" xfId="2" applyFont="1" applyFill="1" applyBorder="1" applyAlignment="1" applyProtection="1">
      <alignment horizontal="left" vertical="center" textRotation="90" wrapText="1"/>
      <protection hidden="1"/>
    </xf>
    <xf numFmtId="0" fontId="83" fillId="21" borderId="66" xfId="2" applyFont="1" applyFill="1" applyBorder="1" applyAlignment="1">
      <alignment horizontal="left" vertical="center" wrapText="1"/>
    </xf>
    <xf numFmtId="0" fontId="87" fillId="21" borderId="0" xfId="2" applyFont="1" applyFill="1" applyAlignment="1" applyProtection="1">
      <alignment horizontal="center" vertical="center" wrapText="1"/>
      <protection hidden="1"/>
    </xf>
    <xf numFmtId="0" fontId="71" fillId="0" borderId="66" xfId="2" applyFont="1" applyBorder="1" applyAlignment="1">
      <alignment vertical="center" wrapText="1"/>
    </xf>
    <xf numFmtId="0" fontId="82" fillId="20" borderId="8" xfId="2" applyFont="1" applyFill="1" applyBorder="1" applyAlignment="1" applyProtection="1">
      <alignment horizontal="center" vertical="center" wrapText="1"/>
      <protection hidden="1"/>
    </xf>
    <xf numFmtId="0" fontId="73" fillId="0" borderId="8" xfId="2" applyBorder="1" applyAlignment="1">
      <alignment vertical="center" wrapText="1"/>
    </xf>
    <xf numFmtId="0" fontId="79" fillId="23" borderId="8" xfId="2" applyFont="1" applyFill="1" applyBorder="1" applyAlignment="1" applyProtection="1">
      <alignment horizontal="center" vertical="center" wrapText="1"/>
      <protection locked="0"/>
    </xf>
    <xf numFmtId="0" fontId="91" fillId="21" borderId="0" xfId="2" applyFont="1" applyFill="1" applyAlignment="1" applyProtection="1">
      <alignment horizontal="center" vertical="center" wrapText="1"/>
      <protection hidden="1"/>
    </xf>
    <xf numFmtId="0" fontId="86" fillId="14" borderId="8" xfId="2" applyFont="1" applyFill="1" applyBorder="1" applyAlignment="1" applyProtection="1">
      <alignment horizontal="center" vertical="center" wrapText="1"/>
      <protection hidden="1"/>
    </xf>
    <xf numFmtId="0" fontId="77" fillId="17" borderId="39" xfId="2" applyFont="1" applyFill="1" applyBorder="1" applyAlignment="1" applyProtection="1">
      <alignment horizontal="left" vertical="center" wrapText="1"/>
      <protection hidden="1"/>
    </xf>
    <xf numFmtId="0" fontId="82" fillId="20" borderId="21" xfId="2" applyFont="1" applyFill="1" applyBorder="1" applyAlignment="1" applyProtection="1">
      <alignment horizontal="center" vertical="center" wrapText="1"/>
      <protection hidden="1"/>
    </xf>
    <xf numFmtId="0" fontId="82" fillId="20" borderId="55" xfId="2" applyFont="1" applyFill="1" applyBorder="1" applyAlignment="1" applyProtection="1">
      <alignment horizontal="center" vertical="center" wrapText="1"/>
      <protection hidden="1"/>
    </xf>
    <xf numFmtId="0" fontId="82" fillId="20" borderId="56" xfId="2" applyFont="1" applyFill="1" applyBorder="1" applyAlignment="1" applyProtection="1">
      <alignment horizontal="center" vertical="center" wrapText="1"/>
      <protection hidden="1"/>
    </xf>
    <xf numFmtId="0" fontId="92" fillId="14" borderId="21" xfId="2" applyFont="1" applyFill="1" applyBorder="1" applyAlignment="1" applyProtection="1">
      <alignment horizontal="center" vertical="center" wrapText="1"/>
      <protection hidden="1"/>
    </xf>
    <xf numFmtId="0" fontId="92" fillId="14" borderId="55" xfId="2" applyFont="1" applyFill="1" applyBorder="1" applyAlignment="1" applyProtection="1">
      <alignment horizontal="center" vertical="center" wrapText="1"/>
      <protection hidden="1"/>
    </xf>
    <xf numFmtId="0" fontId="92" fillId="14" borderId="35" xfId="2" applyFont="1" applyFill="1" applyBorder="1" applyAlignment="1" applyProtection="1">
      <alignment horizontal="center" vertical="center" wrapText="1"/>
      <protection hidden="1"/>
    </xf>
    <xf numFmtId="0" fontId="92" fillId="14" borderId="38" xfId="2" applyFont="1" applyFill="1" applyBorder="1" applyAlignment="1" applyProtection="1">
      <alignment horizontal="center" vertical="center" wrapText="1"/>
      <protection hidden="1"/>
    </xf>
    <xf numFmtId="0" fontId="81" fillId="21" borderId="38" xfId="2" applyFont="1" applyFill="1" applyBorder="1" applyAlignment="1" applyProtection="1">
      <alignment horizontal="left" vertical="center" wrapText="1"/>
      <protection hidden="1"/>
    </xf>
    <xf numFmtId="0" fontId="81" fillId="21" borderId="65" xfId="2" applyFont="1" applyFill="1" applyBorder="1" applyAlignment="1" applyProtection="1">
      <alignment horizontal="left" vertical="center" wrapText="1"/>
      <protection hidden="1"/>
    </xf>
    <xf numFmtId="0" fontId="81" fillId="21" borderId="0" xfId="2" applyFont="1" applyFill="1" applyAlignment="1" applyProtection="1">
      <alignment horizontal="left" vertical="center" wrapText="1"/>
      <protection hidden="1"/>
    </xf>
    <xf numFmtId="0" fontId="91" fillId="21" borderId="65" xfId="2" applyFont="1" applyFill="1" applyBorder="1" applyAlignment="1">
      <alignment horizontal="left" vertical="center" wrapText="1"/>
    </xf>
    <xf numFmtId="0" fontId="91" fillId="21" borderId="0" xfId="2" applyFont="1" applyFill="1" applyAlignment="1">
      <alignment horizontal="left" vertical="center" wrapText="1"/>
    </xf>
    <xf numFmtId="0" fontId="74" fillId="11" borderId="20" xfId="2" applyFont="1" applyFill="1" applyBorder="1" applyAlignment="1" applyProtection="1">
      <alignment horizontal="left" vertical="center" wrapText="1"/>
      <protection hidden="1"/>
    </xf>
    <xf numFmtId="0" fontId="74" fillId="11" borderId="47" xfId="2" applyFont="1" applyFill="1" applyBorder="1" applyAlignment="1" applyProtection="1">
      <alignment horizontal="left" vertical="center" wrapText="1"/>
      <protection hidden="1"/>
    </xf>
    <xf numFmtId="0" fontId="89" fillId="24" borderId="8" xfId="2" applyFont="1" applyFill="1" applyBorder="1" applyAlignment="1" applyProtection="1">
      <alignment horizontal="center" vertical="center" wrapText="1"/>
      <protection locked="0"/>
    </xf>
    <xf numFmtId="0" fontId="89" fillId="23" borderId="20" xfId="2" applyFont="1" applyFill="1" applyBorder="1" applyAlignment="1" applyProtection="1">
      <alignment horizontal="center" vertical="center" wrapText="1"/>
      <protection locked="0"/>
    </xf>
    <xf numFmtId="0" fontId="77" fillId="17" borderId="39" xfId="2" applyFont="1" applyFill="1" applyBorder="1" applyAlignment="1" applyProtection="1">
      <alignment horizontal="right" vertical="center" wrapText="1"/>
      <protection hidden="1"/>
    </xf>
    <xf numFmtId="0" fontId="78" fillId="21" borderId="55" xfId="2" applyFont="1" applyFill="1" applyBorder="1" applyAlignment="1" applyProtection="1">
      <alignment horizontal="center" vertical="center" wrapText="1"/>
      <protection hidden="1"/>
    </xf>
    <xf numFmtId="0" fontId="78" fillId="21" borderId="0" xfId="2" applyFont="1" applyFill="1" applyAlignment="1" applyProtection="1">
      <alignment horizontal="center" vertical="center" wrapText="1"/>
      <protection hidden="1"/>
    </xf>
    <xf numFmtId="0" fontId="93" fillId="14" borderId="21" xfId="2" applyFont="1" applyFill="1" applyBorder="1" applyAlignment="1" applyProtection="1">
      <alignment horizontal="center" vertical="center" wrapText="1"/>
      <protection hidden="1"/>
    </xf>
    <xf numFmtId="0" fontId="93" fillId="14" borderId="55" xfId="2" applyFont="1" applyFill="1" applyBorder="1" applyAlignment="1" applyProtection="1">
      <alignment horizontal="center" vertical="center" wrapText="1"/>
      <protection hidden="1"/>
    </xf>
    <xf numFmtId="0" fontId="93" fillId="14" borderId="56" xfId="2" applyFont="1" applyFill="1" applyBorder="1" applyAlignment="1" applyProtection="1">
      <alignment horizontal="center" vertical="center" wrapText="1"/>
      <protection hidden="1"/>
    </xf>
    <xf numFmtId="0" fontId="93" fillId="14" borderId="35" xfId="2" applyFont="1" applyFill="1" applyBorder="1" applyAlignment="1" applyProtection="1">
      <alignment horizontal="center" vertical="center" wrapText="1"/>
      <protection hidden="1"/>
    </xf>
    <xf numFmtId="0" fontId="93" fillId="14" borderId="38" xfId="2" applyFont="1" applyFill="1" applyBorder="1" applyAlignment="1" applyProtection="1">
      <alignment horizontal="center" vertical="center" wrapText="1"/>
      <protection hidden="1"/>
    </xf>
    <xf numFmtId="0" fontId="93" fillId="14" borderId="57" xfId="2" applyFont="1" applyFill="1" applyBorder="1" applyAlignment="1" applyProtection="1">
      <alignment horizontal="center" vertical="center" wrapText="1"/>
      <protection hidden="1"/>
    </xf>
    <xf numFmtId="0" fontId="92" fillId="14" borderId="8" xfId="2" applyFont="1" applyFill="1" applyBorder="1" applyAlignment="1" applyProtection="1">
      <alignment horizontal="center" vertical="center" wrapText="1"/>
      <protection hidden="1"/>
    </xf>
    <xf numFmtId="165" fontId="79" fillId="17" borderId="9" xfId="2" applyNumberFormat="1" applyFont="1" applyFill="1" applyBorder="1" applyAlignment="1" applyProtection="1">
      <alignment horizontal="center" vertical="center" wrapText="1"/>
      <protection hidden="1"/>
    </xf>
    <xf numFmtId="165" fontId="79" fillId="17" borderId="39" xfId="2" applyNumberFormat="1" applyFont="1" applyFill="1" applyBorder="1" applyAlignment="1" applyProtection="1">
      <alignment horizontal="center" vertical="center" wrapText="1"/>
      <protection hidden="1"/>
    </xf>
    <xf numFmtId="165" fontId="79" fillId="17" borderId="23" xfId="2" applyNumberFormat="1" applyFont="1" applyFill="1" applyBorder="1" applyAlignment="1" applyProtection="1">
      <alignment horizontal="center" vertical="center" wrapText="1"/>
      <protection hidden="1"/>
    </xf>
    <xf numFmtId="0" fontId="79" fillId="17" borderId="9" xfId="2" applyFont="1" applyFill="1" applyBorder="1" applyAlignment="1" applyProtection="1">
      <alignment horizontal="center" vertical="center" wrapText="1"/>
      <protection hidden="1"/>
    </xf>
    <xf numFmtId="0" fontId="79" fillId="17" borderId="39" xfId="2" applyFont="1" applyFill="1" applyBorder="1" applyAlignment="1" applyProtection="1">
      <alignment horizontal="center" vertical="center" wrapText="1"/>
      <protection hidden="1"/>
    </xf>
    <xf numFmtId="165" fontId="82" fillId="17" borderId="8" xfId="2" applyNumberFormat="1" applyFont="1" applyFill="1" applyBorder="1" applyAlignment="1" applyProtection="1">
      <alignment horizontal="center" vertical="center" wrapText="1"/>
      <protection hidden="1"/>
    </xf>
    <xf numFmtId="0" fontId="92" fillId="14" borderId="56" xfId="2" applyFont="1" applyFill="1" applyBorder="1" applyAlignment="1" applyProtection="1">
      <alignment horizontal="center" vertical="center" wrapText="1"/>
      <protection hidden="1"/>
    </xf>
    <xf numFmtId="0" fontId="92" fillId="14" borderId="57" xfId="2" applyFont="1" applyFill="1" applyBorder="1" applyAlignment="1" applyProtection="1">
      <alignment horizontal="center" vertical="center" wrapText="1"/>
      <protection hidden="1"/>
    </xf>
    <xf numFmtId="0" fontId="98" fillId="2" borderId="45" xfId="2" applyFont="1" applyFill="1" applyBorder="1" applyAlignment="1" applyProtection="1">
      <alignment horizontal="left" vertical="center"/>
      <protection hidden="1"/>
    </xf>
    <xf numFmtId="0" fontId="9" fillId="2" borderId="28" xfId="2" applyFont="1" applyFill="1" applyBorder="1" applyAlignment="1" applyProtection="1">
      <alignment horizontal="left" vertical="center"/>
      <protection hidden="1"/>
    </xf>
    <xf numFmtId="0" fontId="73" fillId="0" borderId="28" xfId="2" applyBorder="1" applyAlignment="1" applyProtection="1">
      <alignment horizontal="left"/>
      <protection hidden="1"/>
    </xf>
    <xf numFmtId="0" fontId="73" fillId="0" borderId="53" xfId="2" applyBorder="1" applyAlignment="1" applyProtection="1">
      <alignment horizontal="left"/>
      <protection hidden="1"/>
    </xf>
    <xf numFmtId="0" fontId="73" fillId="0" borderId="8" xfId="2" applyBorder="1" applyAlignment="1" applyProtection="1">
      <alignment horizontal="center"/>
      <protection hidden="1"/>
    </xf>
    <xf numFmtId="0" fontId="91" fillId="0" borderId="46" xfId="2" applyFont="1" applyBorder="1" applyAlignment="1" applyProtection="1">
      <alignment horizontal="left" vertical="center" wrapText="1"/>
      <protection hidden="1"/>
    </xf>
    <xf numFmtId="0" fontId="91" fillId="0" borderId="0" xfId="2" applyFont="1" applyAlignment="1" applyProtection="1">
      <alignment horizontal="left" vertical="center" wrapText="1"/>
      <protection hidden="1"/>
    </xf>
    <xf numFmtId="0" fontId="91" fillId="0" borderId="64" xfId="2" applyFont="1" applyBorder="1" applyAlignment="1" applyProtection="1">
      <alignment horizontal="left" vertical="center" wrapText="1"/>
      <protection hidden="1"/>
    </xf>
    <xf numFmtId="0" fontId="95" fillId="21" borderId="0" xfId="2" applyFont="1" applyFill="1" applyAlignment="1" applyProtection="1">
      <alignment horizontal="center" vertical="center" wrapText="1"/>
      <protection hidden="1"/>
    </xf>
    <xf numFmtId="0" fontId="90" fillId="24" borderId="8" xfId="2" applyFont="1" applyFill="1" applyBorder="1" applyAlignment="1" applyProtection="1">
      <alignment horizontal="left" vertical="center" wrapText="1"/>
      <protection locked="0"/>
    </xf>
    <xf numFmtId="0" fontId="100" fillId="0" borderId="0" xfId="2" applyFont="1" applyAlignment="1" applyProtection="1">
      <alignment vertical="center" wrapText="1"/>
      <protection hidden="1"/>
    </xf>
    <xf numFmtId="0" fontId="73" fillId="0" borderId="0" xfId="2" applyAlignment="1">
      <alignment vertical="center" wrapText="1"/>
    </xf>
    <xf numFmtId="0" fontId="100" fillId="0" borderId="0" xfId="2" applyFont="1" applyAlignment="1" applyProtection="1">
      <alignment horizontal="left" vertical="center" wrapText="1"/>
      <protection hidden="1"/>
    </xf>
    <xf numFmtId="0" fontId="73" fillId="0" borderId="0" xfId="2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9" fillId="28" borderId="21" xfId="2" applyFont="1" applyFill="1" applyBorder="1" applyAlignment="1" applyProtection="1">
      <alignment horizontal="center" vertical="center"/>
      <protection hidden="1"/>
    </xf>
    <xf numFmtId="0" fontId="9" fillId="28" borderId="55" xfId="2" applyFont="1" applyFill="1" applyBorder="1" applyAlignment="1" applyProtection="1">
      <alignment horizontal="center" vertical="center"/>
      <protection hidden="1"/>
    </xf>
    <xf numFmtId="0" fontId="73" fillId="28" borderId="55" xfId="2" applyFill="1" applyBorder="1" applyProtection="1">
      <protection hidden="1"/>
    </xf>
    <xf numFmtId="0" fontId="112" fillId="0" borderId="21" xfId="2" applyFont="1" applyBorder="1" applyAlignment="1" applyProtection="1">
      <alignment horizontal="left" vertical="center" wrapText="1"/>
      <protection hidden="1"/>
    </xf>
    <xf numFmtId="0" fontId="112" fillId="0" borderId="55" xfId="2" applyFont="1" applyBorder="1" applyAlignment="1" applyProtection="1">
      <alignment horizontal="left" vertical="center" wrapText="1"/>
      <protection hidden="1"/>
    </xf>
    <xf numFmtId="0" fontId="112" fillId="0" borderId="0" xfId="2" applyFont="1" applyAlignment="1" applyProtection="1">
      <alignment horizontal="left" vertical="center" wrapText="1"/>
      <protection hidden="1"/>
    </xf>
    <xf numFmtId="0" fontId="82" fillId="20" borderId="65" xfId="2" applyFont="1" applyFill="1" applyBorder="1" applyAlignment="1" applyProtection="1">
      <alignment horizontal="center" vertical="center" wrapText="1"/>
      <protection hidden="1"/>
    </xf>
    <xf numFmtId="0" fontId="82" fillId="20" borderId="0" xfId="2" applyFont="1" applyFill="1" applyAlignment="1" applyProtection="1">
      <alignment horizontal="center" vertical="center" wrapText="1"/>
      <protection hidden="1"/>
    </xf>
    <xf numFmtId="0" fontId="82" fillId="20" borderId="66" xfId="2" applyFont="1" applyFill="1" applyBorder="1" applyAlignment="1" applyProtection="1">
      <alignment horizontal="center" vertical="center" wrapText="1"/>
      <protection hidden="1"/>
    </xf>
    <xf numFmtId="0" fontId="74" fillId="20" borderId="0" xfId="2" applyFont="1" applyFill="1" applyAlignment="1" applyProtection="1">
      <alignment horizontal="center" vertical="center" wrapText="1"/>
      <protection hidden="1"/>
    </xf>
    <xf numFmtId="0" fontId="77" fillId="22" borderId="9" xfId="2" applyFont="1" applyFill="1" applyBorder="1" applyAlignment="1" applyProtection="1">
      <alignment horizontal="center" vertical="center" wrapText="1"/>
      <protection hidden="1"/>
    </xf>
    <xf numFmtId="0" fontId="77" fillId="22" borderId="39" xfId="2" applyFont="1" applyFill="1" applyBorder="1" applyAlignment="1" applyProtection="1">
      <alignment horizontal="center" vertical="center" wrapText="1"/>
      <protection hidden="1"/>
    </xf>
    <xf numFmtId="0" fontId="77" fillId="27" borderId="20" xfId="2" applyFont="1" applyFill="1" applyBorder="1" applyAlignment="1" applyProtection="1">
      <alignment horizontal="center" vertical="center" textRotation="90" wrapText="1"/>
      <protection hidden="1"/>
    </xf>
    <xf numFmtId="0" fontId="77" fillId="27" borderId="67" xfId="2" applyFont="1" applyFill="1" applyBorder="1" applyAlignment="1" applyProtection="1">
      <alignment horizontal="center" vertical="center" textRotation="90" wrapText="1"/>
      <protection hidden="1"/>
    </xf>
    <xf numFmtId="0" fontId="107" fillId="11" borderId="65" xfId="2" applyFont="1" applyFill="1" applyBorder="1" applyAlignment="1" applyProtection="1">
      <alignment horizontal="center" vertical="center" wrapText="1"/>
      <protection hidden="1"/>
    </xf>
    <xf numFmtId="0" fontId="107" fillId="0" borderId="0" xfId="2" applyFont="1" applyAlignment="1">
      <alignment horizontal="center" vertical="center" wrapText="1"/>
    </xf>
    <xf numFmtId="0" fontId="80" fillId="11" borderId="0" xfId="2" applyFont="1" applyFill="1" applyAlignment="1" applyProtection="1">
      <alignment horizontal="center" wrapText="1"/>
      <protection hidden="1"/>
    </xf>
    <xf numFmtId="0" fontId="80" fillId="11" borderId="0" xfId="2" applyFont="1" applyFill="1" applyAlignment="1">
      <alignment horizontal="center" wrapText="1"/>
    </xf>
    <xf numFmtId="0" fontId="73" fillId="11" borderId="0" xfId="2" applyFill="1" applyAlignment="1">
      <alignment horizontal="center" wrapText="1"/>
    </xf>
    <xf numFmtId="0" fontId="106" fillId="14" borderId="21" xfId="2" applyFont="1" applyFill="1" applyBorder="1" applyAlignment="1" applyProtection="1">
      <alignment horizontal="center" vertical="center" wrapText="1"/>
      <protection hidden="1"/>
    </xf>
    <xf numFmtId="0" fontId="106" fillId="14" borderId="55" xfId="2" applyFont="1" applyFill="1" applyBorder="1" applyAlignment="1" applyProtection="1">
      <alignment horizontal="center" vertical="center" wrapText="1"/>
      <protection hidden="1"/>
    </xf>
    <xf numFmtId="0" fontId="106" fillId="14" borderId="56" xfId="2" applyFont="1" applyFill="1" applyBorder="1" applyAlignment="1" applyProtection="1">
      <alignment horizontal="center" vertical="center" wrapText="1"/>
      <protection hidden="1"/>
    </xf>
    <xf numFmtId="0" fontId="106" fillId="14" borderId="65" xfId="2" applyFont="1" applyFill="1" applyBorder="1" applyAlignment="1" applyProtection="1">
      <alignment horizontal="center" vertical="center" wrapText="1"/>
      <protection hidden="1"/>
    </xf>
    <xf numFmtId="0" fontId="106" fillId="14" borderId="0" xfId="2" applyFont="1" applyFill="1" applyAlignment="1" applyProtection="1">
      <alignment horizontal="center" vertical="center" wrapText="1"/>
      <protection hidden="1"/>
    </xf>
    <xf numFmtId="0" fontId="106" fillId="14" borderId="66" xfId="2" applyFont="1" applyFill="1" applyBorder="1" applyAlignment="1" applyProtection="1">
      <alignment horizontal="center" vertical="center" wrapText="1"/>
      <protection hidden="1"/>
    </xf>
    <xf numFmtId="165" fontId="103" fillId="25" borderId="9" xfId="2" applyNumberFormat="1" applyFont="1" applyFill="1" applyBorder="1" applyAlignment="1" applyProtection="1">
      <alignment horizontal="center" vertical="center" wrapText="1"/>
      <protection hidden="1"/>
    </xf>
    <xf numFmtId="165" fontId="103" fillId="25" borderId="39" xfId="2" applyNumberFormat="1" applyFont="1" applyFill="1" applyBorder="1" applyAlignment="1" applyProtection="1">
      <alignment horizontal="center" vertical="center" wrapText="1"/>
      <protection hidden="1"/>
    </xf>
    <xf numFmtId="165" fontId="103" fillId="25" borderId="23" xfId="2" applyNumberFormat="1" applyFont="1" applyFill="1" applyBorder="1" applyAlignment="1" applyProtection="1">
      <alignment horizontal="center" vertical="center" wrapText="1"/>
      <protection hidden="1"/>
    </xf>
    <xf numFmtId="0" fontId="82" fillId="20" borderId="9" xfId="2" applyFont="1" applyFill="1" applyBorder="1" applyAlignment="1" applyProtection="1">
      <alignment horizontal="center" vertical="center" wrapText="1"/>
      <protection hidden="1"/>
    </xf>
    <xf numFmtId="0" fontId="82" fillId="20" borderId="23" xfId="2" applyFont="1" applyFill="1" applyBorder="1" applyAlignment="1" applyProtection="1">
      <alignment horizontal="center" vertical="center" wrapText="1"/>
      <protection hidden="1"/>
    </xf>
    <xf numFmtId="0" fontId="77" fillId="24" borderId="8" xfId="2" applyFont="1" applyFill="1" applyBorder="1" applyAlignment="1" applyProtection="1">
      <alignment horizontal="left" vertical="center" wrapText="1"/>
      <protection locked="0"/>
    </xf>
    <xf numFmtId="0" fontId="103" fillId="21" borderId="55" xfId="2" applyFont="1" applyFill="1" applyBorder="1" applyAlignment="1" applyProtection="1">
      <alignment horizontal="center" vertical="center" wrapText="1"/>
      <protection hidden="1"/>
    </xf>
    <xf numFmtId="0" fontId="103" fillId="21" borderId="0" xfId="2" applyFont="1" applyFill="1" applyAlignment="1" applyProtection="1">
      <alignment horizontal="center" vertical="center" wrapText="1"/>
      <protection hidden="1"/>
    </xf>
    <xf numFmtId="0" fontId="103" fillId="25" borderId="9" xfId="2" applyFont="1" applyFill="1" applyBorder="1" applyAlignment="1" applyProtection="1">
      <alignment horizontal="center" vertical="center" wrapText="1"/>
      <protection hidden="1"/>
    </xf>
    <xf numFmtId="0" fontId="103" fillId="25" borderId="39" xfId="2" applyFont="1" applyFill="1" applyBorder="1" applyAlignment="1" applyProtection="1">
      <alignment horizontal="center" vertical="center" wrapText="1"/>
      <protection hidden="1"/>
    </xf>
    <xf numFmtId="0" fontId="103" fillId="25" borderId="23" xfId="2" applyFont="1" applyFill="1" applyBorder="1" applyAlignment="1" applyProtection="1">
      <alignment horizontal="center" vertical="center" wrapText="1"/>
      <protection hidden="1"/>
    </xf>
    <xf numFmtId="0" fontId="77" fillId="27" borderId="20" xfId="2" applyFont="1" applyFill="1" applyBorder="1" applyAlignment="1" applyProtection="1">
      <alignment horizontal="left" vertical="center" textRotation="180" wrapText="1"/>
      <protection hidden="1"/>
    </xf>
    <xf numFmtId="0" fontId="77" fillId="27" borderId="67" xfId="2" applyFont="1" applyFill="1" applyBorder="1" applyAlignment="1" applyProtection="1">
      <alignment horizontal="left" vertical="center" textRotation="180" wrapText="1"/>
      <protection hidden="1"/>
    </xf>
    <xf numFmtId="0" fontId="82" fillId="20" borderId="35" xfId="2" applyFont="1" applyFill="1" applyBorder="1" applyAlignment="1" applyProtection="1">
      <alignment horizontal="center" vertical="center" wrapText="1"/>
      <protection hidden="1"/>
    </xf>
    <xf numFmtId="0" fontId="82" fillId="20" borderId="57" xfId="2" applyFont="1" applyFill="1" applyBorder="1" applyAlignment="1" applyProtection="1">
      <alignment horizontal="center" vertical="center" wrapText="1"/>
      <protection hidden="1"/>
    </xf>
    <xf numFmtId="0" fontId="93" fillId="14" borderId="9" xfId="2" applyFont="1" applyFill="1" applyBorder="1" applyAlignment="1" applyProtection="1">
      <alignment horizontal="center" vertical="center" wrapText="1"/>
      <protection hidden="1"/>
    </xf>
    <xf numFmtId="0" fontId="93" fillId="14" borderId="39" xfId="2" applyFont="1" applyFill="1" applyBorder="1" applyAlignment="1" applyProtection="1">
      <alignment horizontal="center" vertical="center" wrapText="1"/>
      <protection hidden="1"/>
    </xf>
    <xf numFmtId="0" fontId="93" fillId="14" borderId="23" xfId="2" applyFont="1" applyFill="1" applyBorder="1" applyAlignment="1" applyProtection="1">
      <alignment horizontal="center" vertical="center" wrapText="1"/>
      <protection hidden="1"/>
    </xf>
    <xf numFmtId="0" fontId="94" fillId="0" borderId="0" xfId="2" applyFont="1" applyAlignment="1" applyProtection="1">
      <alignment horizontal="left" vertical="center" wrapText="1"/>
      <protection hidden="1"/>
    </xf>
    <xf numFmtId="0" fontId="113" fillId="21" borderId="0" xfId="2" applyFont="1" applyFill="1" applyAlignment="1" applyProtection="1">
      <alignment horizontal="center" vertical="center" wrapText="1"/>
      <protection hidden="1"/>
    </xf>
    <xf numFmtId="0" fontId="78" fillId="21" borderId="38" xfId="2" applyFont="1" applyFill="1" applyBorder="1" applyAlignment="1" applyProtection="1">
      <alignment horizontal="center" vertical="center" wrapText="1"/>
      <protection hidden="1"/>
    </xf>
    <xf numFmtId="0" fontId="104" fillId="21" borderId="67" xfId="2" applyFont="1" applyFill="1" applyBorder="1" applyAlignment="1" applyProtection="1">
      <alignment horizontal="center" vertical="center" textRotation="90" wrapText="1"/>
      <protection hidden="1"/>
    </xf>
    <xf numFmtId="0" fontId="104" fillId="0" borderId="67" xfId="2" applyFont="1" applyBorder="1" applyAlignment="1">
      <alignment horizontal="center" vertical="center" textRotation="90" wrapText="1"/>
    </xf>
    <xf numFmtId="0" fontId="104" fillId="21" borderId="65" xfId="2" applyFont="1" applyFill="1" applyBorder="1" applyAlignment="1" applyProtection="1">
      <alignment horizontal="center" vertical="center" wrapText="1"/>
      <protection hidden="1"/>
    </xf>
    <xf numFmtId="0" fontId="104" fillId="0" borderId="66" xfId="2" applyFont="1" applyBorder="1" applyAlignment="1">
      <alignment vertical="center" wrapText="1"/>
    </xf>
    <xf numFmtId="0" fontId="79" fillId="25" borderId="39" xfId="2" applyFont="1" applyFill="1" applyBorder="1" applyAlignment="1" applyProtection="1">
      <alignment horizontal="right" vertical="center" wrapText="1"/>
      <protection hidden="1"/>
    </xf>
    <xf numFmtId="0" fontId="79" fillId="25" borderId="39" xfId="2" applyFont="1" applyFill="1" applyBorder="1" applyAlignment="1" applyProtection="1">
      <alignment horizontal="left" vertical="center" wrapText="1"/>
      <protection hidden="1"/>
    </xf>
    <xf numFmtId="0" fontId="108" fillId="11" borderId="0" xfId="2" applyFont="1" applyFill="1" applyAlignment="1" applyProtection="1">
      <alignment horizontal="left" vertical="center" wrapText="1"/>
      <protection hidden="1"/>
    </xf>
    <xf numFmtId="0" fontId="108" fillId="11" borderId="0" xfId="2" applyFont="1" applyFill="1" applyAlignment="1" applyProtection="1">
      <alignment horizontal="left" vertical="top" wrapText="1"/>
      <protection hidden="1"/>
    </xf>
    <xf numFmtId="0" fontId="90" fillId="24" borderId="9" xfId="2" applyFont="1" applyFill="1" applyBorder="1" applyAlignment="1" applyProtection="1">
      <alignment horizontal="center" vertical="center" wrapText="1"/>
      <protection locked="0"/>
    </xf>
    <xf numFmtId="0" fontId="90" fillId="24" borderId="23" xfId="2" applyFont="1" applyFill="1" applyBorder="1" applyAlignment="1" applyProtection="1">
      <alignment horizontal="center" vertical="center" wrapText="1"/>
      <protection locked="0"/>
    </xf>
    <xf numFmtId="0" fontId="126" fillId="0" borderId="0" xfId="2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74" fillId="0" borderId="0" xfId="2" applyFont="1" applyAlignment="1" applyProtection="1">
      <alignment horizontal="left" vertical="center" wrapText="1"/>
      <protection hidden="1"/>
    </xf>
    <xf numFmtId="0" fontId="74" fillId="0" borderId="0" xfId="2" applyFont="1" applyAlignment="1">
      <alignment horizontal="left" vertical="center" wrapText="1"/>
    </xf>
    <xf numFmtId="0" fontId="172" fillId="32" borderId="7" xfId="0" applyFont="1" applyFill="1" applyBorder="1" applyAlignment="1">
      <alignment horizontal="center" vertical="center" wrapText="1"/>
    </xf>
    <xf numFmtId="0" fontId="0" fillId="32" borderId="17" xfId="0" applyFill="1" applyBorder="1" applyAlignment="1">
      <alignment wrapText="1"/>
    </xf>
    <xf numFmtId="0" fontId="0" fillId="32" borderId="10" xfId="0" applyFill="1" applyBorder="1" applyAlignment="1">
      <alignment wrapText="1"/>
    </xf>
    <xf numFmtId="0" fontId="0" fillId="32" borderId="13" xfId="0" applyFill="1" applyBorder="1" applyAlignment="1">
      <alignment wrapText="1"/>
    </xf>
    <xf numFmtId="0" fontId="0" fillId="32" borderId="14" xfId="0" applyFill="1" applyBorder="1" applyAlignment="1">
      <alignment wrapText="1"/>
    </xf>
    <xf numFmtId="0" fontId="0" fillId="32" borderId="16" xfId="0" applyFill="1" applyBorder="1" applyAlignment="1">
      <alignment wrapText="1"/>
    </xf>
    <xf numFmtId="0" fontId="75" fillId="0" borderId="0" xfId="2" applyFont="1" applyAlignment="1">
      <alignment horizontal="left" vertical="center" wrapText="1"/>
    </xf>
    <xf numFmtId="1" fontId="0" fillId="0" borderId="0" xfId="0" applyNumberFormat="1" applyAlignment="1">
      <alignment horizont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6" fillId="9" borderId="30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 wrapText="1"/>
    </xf>
    <xf numFmtId="0" fontId="133" fillId="0" borderId="80" xfId="2" applyFont="1" applyBorder="1" applyAlignment="1">
      <alignment vertical="center" wrapText="1"/>
    </xf>
    <xf numFmtId="0" fontId="17" fillId="0" borderId="81" xfId="0" applyFont="1" applyBorder="1" applyAlignment="1">
      <alignment vertical="center" wrapText="1"/>
    </xf>
    <xf numFmtId="0" fontId="17" fillId="0" borderId="82" xfId="0" applyFont="1" applyBorder="1" applyAlignment="1">
      <alignment vertical="center" wrapText="1"/>
    </xf>
    <xf numFmtId="0" fontId="17" fillId="0" borderId="83" xfId="0" applyFont="1" applyBorder="1" applyAlignment="1">
      <alignment vertical="center" wrapText="1"/>
    </xf>
    <xf numFmtId="0" fontId="17" fillId="0" borderId="84" xfId="0" applyFont="1" applyBorder="1" applyAlignment="1">
      <alignment vertical="center" wrapText="1"/>
    </xf>
    <xf numFmtId="0" fontId="17" fillId="0" borderId="85" xfId="0" applyFont="1" applyBorder="1" applyAlignment="1">
      <alignment vertical="center" wrapText="1"/>
    </xf>
    <xf numFmtId="0" fontId="73" fillId="0" borderId="80" xfId="2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133" fillId="0" borderId="86" xfId="2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87" xfId="0" applyFont="1" applyBorder="1" applyAlignment="1">
      <alignment vertical="center" wrapText="1"/>
    </xf>
    <xf numFmtId="0" fontId="133" fillId="0" borderId="78" xfId="2" applyFont="1" applyBorder="1" applyAlignment="1">
      <alignment vertical="center" wrapText="1"/>
    </xf>
    <xf numFmtId="0" fontId="17" fillId="0" borderId="78" xfId="0" applyFont="1" applyBorder="1" applyAlignment="1">
      <alignment vertical="center" wrapText="1"/>
    </xf>
    <xf numFmtId="0" fontId="17" fillId="0" borderId="79" xfId="0" applyFont="1" applyBorder="1" applyAlignment="1">
      <alignment vertical="center" wrapText="1"/>
    </xf>
    <xf numFmtId="0" fontId="73" fillId="34" borderId="86" xfId="2" applyFill="1" applyBorder="1"/>
    <xf numFmtId="0" fontId="0" fillId="34" borderId="81" xfId="0" applyFill="1" applyBorder="1"/>
    <xf numFmtId="0" fontId="0" fillId="34" borderId="0" xfId="0" applyFill="1"/>
    <xf numFmtId="0" fontId="0" fillId="34" borderId="83" xfId="0" applyFill="1" applyBorder="1"/>
    <xf numFmtId="0" fontId="0" fillId="34" borderId="87" xfId="0" applyFill="1" applyBorder="1"/>
    <xf numFmtId="0" fontId="0" fillId="34" borderId="85" xfId="0" applyFill="1" applyBorder="1"/>
    <xf numFmtId="0" fontId="73" fillId="0" borderId="77" xfId="2" applyBorder="1"/>
    <xf numFmtId="0" fontId="0" fillId="0" borderId="78" xfId="0" applyBorder="1"/>
    <xf numFmtId="0" fontId="0" fillId="0" borderId="79" xfId="0" applyBorder="1"/>
    <xf numFmtId="0" fontId="133" fillId="20" borderId="47" xfId="2" applyFont="1" applyFill="1" applyBorder="1" applyAlignment="1" applyProtection="1">
      <alignment horizontal="center" vertical="center" wrapText="1"/>
      <protection hidden="1"/>
    </xf>
    <xf numFmtId="0" fontId="133" fillId="20" borderId="8" xfId="2" applyFont="1" applyFill="1" applyBorder="1" applyAlignment="1" applyProtection="1">
      <alignment horizontal="center" vertical="center" wrapText="1"/>
      <protection hidden="1"/>
    </xf>
    <xf numFmtId="0" fontId="133" fillId="20" borderId="8" xfId="2" applyFont="1" applyFill="1" applyBorder="1" applyAlignment="1">
      <alignment horizontal="center" vertical="center" wrapText="1"/>
    </xf>
    <xf numFmtId="0" fontId="161" fillId="32" borderId="31" xfId="2" applyFont="1" applyFill="1" applyBorder="1" applyAlignment="1">
      <alignment horizontal="center" vertical="center" wrapText="1"/>
    </xf>
    <xf numFmtId="0" fontId="162" fillId="32" borderId="32" xfId="0" applyFont="1" applyFill="1" applyBorder="1" applyAlignment="1">
      <alignment horizontal="center" vertical="center" wrapText="1"/>
    </xf>
    <xf numFmtId="0" fontId="162" fillId="32" borderId="5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10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  <fill>
        <patternFill>
          <bgColor theme="0" tint="-0.14996795556505021"/>
        </patternFill>
      </fill>
      <border>
        <top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  <fill>
        <patternFill>
          <bgColor theme="0" tint="-0.14996795556505021"/>
        </patternFill>
      </fill>
      <border>
        <top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  <fill>
        <patternFill>
          <bgColor theme="0" tint="-0.14996795556505021"/>
        </patternFill>
      </fill>
      <border>
        <top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6600"/>
      <color rgb="FF5F5F5F"/>
      <color rgb="FFDDFFFF"/>
      <color rgb="FFEF720B"/>
      <color rgb="FF99FFCC"/>
      <color rgb="FFFFFF99"/>
      <color rgb="FFE3FFC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22" fmlaLink="$AK$21" fmlaRange="$AI$21:$AI$22" sel="1" val="0"/>
</file>

<file path=xl/ctrlProps/ctrlProp2.xml><?xml version="1.0" encoding="utf-8"?>
<formControlPr xmlns="http://schemas.microsoft.com/office/spreadsheetml/2009/9/main" objectType="Drop" dropLines="32" dropStyle="combo" dx="22" fmlaLink="$AK$26" fmlaRange="$AJ$26:$AJ$55" sel="18" val="0"/>
</file>

<file path=xl/ctrlProps/ctrlProp3.xml><?xml version="1.0" encoding="utf-8"?>
<formControlPr xmlns="http://schemas.microsoft.com/office/spreadsheetml/2009/9/main" objectType="Drop" dropLines="30" dropStyle="combo" dx="22" fmlaLink="$AL$26" fmlaRange="$AM$26:$AM$43" sel="16" val="0"/>
</file>

<file path=xl/ctrlProps/ctrlProp4.xml><?xml version="1.0" encoding="utf-8"?>
<formControlPr xmlns="http://schemas.microsoft.com/office/spreadsheetml/2009/9/main" objectType="Drop" dropLines="30" dropStyle="combo" dx="22" fmlaLink="$AO$26" fmlaRange="$AN$26:$AN$43" sel="16" val="0"/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9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image" Target="../media/image7.png"/><Relationship Id="rId5" Type="http://schemas.openxmlformats.org/officeDocument/2006/relationships/image" Target="../media/image3.png"/><Relationship Id="rId15" Type="http://schemas.microsoft.com/office/2007/relationships/hdphoto" Target="../media/hdphoto5.wdp"/><Relationship Id="rId10" Type="http://schemas.openxmlformats.org/officeDocument/2006/relationships/image" Target="../media/image6.png"/><Relationship Id="rId4" Type="http://schemas.microsoft.com/office/2007/relationships/hdphoto" Target="../media/hdphoto2.wdp"/><Relationship Id="rId9" Type="http://schemas.openxmlformats.org/officeDocument/2006/relationships/image" Target="../media/image5.png"/><Relationship Id="rId14" Type="http://schemas.openxmlformats.org/officeDocument/2006/relationships/image" Target="../media/image10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png"/><Relationship Id="rId2" Type="http://schemas.openxmlformats.org/officeDocument/2006/relationships/image" Target="../media/image69.png"/><Relationship Id="rId1" Type="http://schemas.openxmlformats.org/officeDocument/2006/relationships/image" Target="../media/image68.png"/><Relationship Id="rId4" Type="http://schemas.openxmlformats.org/officeDocument/2006/relationships/image" Target="../media/image7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3.png"/><Relationship Id="rId1" Type="http://schemas.openxmlformats.org/officeDocument/2006/relationships/image" Target="../media/image7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6.wmf"/><Relationship Id="rId2" Type="http://schemas.openxmlformats.org/officeDocument/2006/relationships/image" Target="../media/image75.wmf"/><Relationship Id="rId1" Type="http://schemas.openxmlformats.org/officeDocument/2006/relationships/image" Target="../media/image7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9.png"/><Relationship Id="rId2" Type="http://schemas.openxmlformats.org/officeDocument/2006/relationships/image" Target="../media/image78.png"/><Relationship Id="rId1" Type="http://schemas.openxmlformats.org/officeDocument/2006/relationships/image" Target="../media/image77.png"/><Relationship Id="rId4" Type="http://schemas.openxmlformats.org/officeDocument/2006/relationships/image" Target="../media/image8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microsoft.com/office/2007/relationships/hdphoto" Target="../media/hdphoto11.wdp"/><Relationship Id="rId3" Type="http://schemas.microsoft.com/office/2007/relationships/hdphoto" Target="../media/hdphoto6.wdp"/><Relationship Id="rId7" Type="http://schemas.microsoft.com/office/2007/relationships/hdphoto" Target="../media/hdphoto8.wdp"/><Relationship Id="rId12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0.png"/><Relationship Id="rId11" Type="http://schemas.microsoft.com/office/2007/relationships/hdphoto" Target="../media/hdphoto10.wdp"/><Relationship Id="rId5" Type="http://schemas.microsoft.com/office/2007/relationships/hdphoto" Target="../media/hdphoto7.wdp"/><Relationship Id="rId15" Type="http://schemas.microsoft.com/office/2007/relationships/hdphoto" Target="../media/hdphoto12.wdp"/><Relationship Id="rId10" Type="http://schemas.openxmlformats.org/officeDocument/2006/relationships/image" Target="../media/image22.png"/><Relationship Id="rId4" Type="http://schemas.openxmlformats.org/officeDocument/2006/relationships/image" Target="../media/image19.png"/><Relationship Id="rId9" Type="http://schemas.microsoft.com/office/2007/relationships/hdphoto" Target="../media/hdphoto9.wdp"/><Relationship Id="rId14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jpe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emf"/><Relationship Id="rId2" Type="http://schemas.openxmlformats.org/officeDocument/2006/relationships/image" Target="../media/image31.emf"/><Relationship Id="rId1" Type="http://schemas.openxmlformats.org/officeDocument/2006/relationships/image" Target="../media/image30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35.png"/><Relationship Id="rId7" Type="http://schemas.openxmlformats.org/officeDocument/2006/relationships/image" Target="../media/image38.png"/><Relationship Id="rId2" Type="http://schemas.openxmlformats.org/officeDocument/2006/relationships/image" Target="../media/image34.emf"/><Relationship Id="rId1" Type="http://schemas.openxmlformats.org/officeDocument/2006/relationships/image" Target="../media/image33.emf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microsoft.com/office/2007/relationships/hdphoto" Target="../media/hdphoto13.wdp"/><Relationship Id="rId9" Type="http://schemas.openxmlformats.org/officeDocument/2006/relationships/image" Target="../media/image4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emf"/><Relationship Id="rId3" Type="http://schemas.openxmlformats.org/officeDocument/2006/relationships/image" Target="../media/image43.jpeg"/><Relationship Id="rId7" Type="http://schemas.openxmlformats.org/officeDocument/2006/relationships/image" Target="../media/image47.emf"/><Relationship Id="rId2" Type="http://schemas.openxmlformats.org/officeDocument/2006/relationships/image" Target="../media/image42.jpeg"/><Relationship Id="rId1" Type="http://schemas.openxmlformats.org/officeDocument/2006/relationships/image" Target="../media/image41.png"/><Relationship Id="rId6" Type="http://schemas.openxmlformats.org/officeDocument/2006/relationships/image" Target="../media/image46.emf"/><Relationship Id="rId5" Type="http://schemas.openxmlformats.org/officeDocument/2006/relationships/image" Target="../media/image45.emf"/><Relationship Id="rId4" Type="http://schemas.openxmlformats.org/officeDocument/2006/relationships/image" Target="../media/image44.emf"/><Relationship Id="rId9" Type="http://schemas.openxmlformats.org/officeDocument/2006/relationships/image" Target="../media/image49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41.png"/><Relationship Id="rId1" Type="http://schemas.openxmlformats.org/officeDocument/2006/relationships/image" Target="../media/image50.jpeg"/><Relationship Id="rId4" Type="http://schemas.openxmlformats.org/officeDocument/2006/relationships/image" Target="../media/image5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png"/><Relationship Id="rId13" Type="http://schemas.openxmlformats.org/officeDocument/2006/relationships/image" Target="../media/image65.emf"/><Relationship Id="rId3" Type="http://schemas.openxmlformats.org/officeDocument/2006/relationships/image" Target="../media/image55.png"/><Relationship Id="rId7" Type="http://schemas.openxmlformats.org/officeDocument/2006/relationships/image" Target="../media/image59.png"/><Relationship Id="rId12" Type="http://schemas.openxmlformats.org/officeDocument/2006/relationships/image" Target="../media/image64.emf"/><Relationship Id="rId2" Type="http://schemas.openxmlformats.org/officeDocument/2006/relationships/image" Target="../media/image54.png"/><Relationship Id="rId1" Type="http://schemas.openxmlformats.org/officeDocument/2006/relationships/image" Target="../media/image53.emf"/><Relationship Id="rId6" Type="http://schemas.openxmlformats.org/officeDocument/2006/relationships/image" Target="../media/image58.png"/><Relationship Id="rId11" Type="http://schemas.openxmlformats.org/officeDocument/2006/relationships/image" Target="../media/image63.emf"/><Relationship Id="rId5" Type="http://schemas.openxmlformats.org/officeDocument/2006/relationships/image" Target="../media/image57.png"/><Relationship Id="rId15" Type="http://schemas.openxmlformats.org/officeDocument/2006/relationships/image" Target="../media/image67.emf"/><Relationship Id="rId10" Type="http://schemas.openxmlformats.org/officeDocument/2006/relationships/image" Target="../media/image62.emf"/><Relationship Id="rId4" Type="http://schemas.openxmlformats.org/officeDocument/2006/relationships/image" Target="../media/image56.png"/><Relationship Id="rId9" Type="http://schemas.openxmlformats.org/officeDocument/2006/relationships/image" Target="../media/image61.png"/><Relationship Id="rId14" Type="http://schemas.openxmlformats.org/officeDocument/2006/relationships/image" Target="../media/image6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1276349</xdr:colOff>
      <xdr:row>31</xdr:row>
      <xdr:rowOff>9525</xdr:rowOff>
    </xdr:from>
    <xdr:to>
      <xdr:col>10</xdr:col>
      <xdr:colOff>2396025</xdr:colOff>
      <xdr:row>49</xdr:row>
      <xdr:rowOff>19050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1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086849" y="8448675"/>
          <a:ext cx="3783954" cy="397192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52</xdr:row>
      <xdr:rowOff>85725</xdr:rowOff>
    </xdr:from>
    <xdr:to>
      <xdr:col>9</xdr:col>
      <xdr:colOff>2580988</xdr:colOff>
      <xdr:row>66</xdr:row>
      <xdr:rowOff>19051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9000"/>
                  </a14:imgEffect>
                  <a14:imgEffect>
                    <a14:brightnessContrast bright="10000" contrast="-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0075" y="13144500"/>
          <a:ext cx="5981413" cy="3781426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31</xdr:row>
      <xdr:rowOff>19049</xdr:rowOff>
    </xdr:from>
    <xdr:to>
      <xdr:col>9</xdr:col>
      <xdr:colOff>1170560</xdr:colOff>
      <xdr:row>48</xdr:row>
      <xdr:rowOff>9525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10000" contrast="-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00575" y="8458199"/>
          <a:ext cx="4380485" cy="3790951"/>
        </a:xfrm>
        <a:prstGeom prst="rect">
          <a:avLst/>
        </a:prstGeom>
      </xdr:spPr>
    </xdr:pic>
    <xdr:clientData/>
  </xdr:twoCellAnchor>
  <xdr:oneCellAnchor>
    <xdr:from>
      <xdr:col>0</xdr:col>
      <xdr:colOff>657224</xdr:colOff>
      <xdr:row>0</xdr:row>
      <xdr:rowOff>0</xdr:rowOff>
    </xdr:from>
    <xdr:ext cx="10029825" cy="600074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7224" y="0"/>
          <a:ext cx="10029825" cy="6000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HF</a:t>
          </a:r>
          <a:r>
            <a:rPr lang="ru-RU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</a:t>
          </a:r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top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>
    <xdr:from>
      <xdr:col>10</xdr:col>
      <xdr:colOff>2014566</xdr:colOff>
      <xdr:row>37</xdr:row>
      <xdr:rowOff>92848</xdr:rowOff>
    </xdr:from>
    <xdr:to>
      <xdr:col>11</xdr:col>
      <xdr:colOff>479258</xdr:colOff>
      <xdr:row>37</xdr:row>
      <xdr:rowOff>93245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2558741" y="10265548"/>
          <a:ext cx="912617" cy="39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342900</xdr:colOff>
      <xdr:row>37</xdr:row>
      <xdr:rowOff>114300</xdr:rowOff>
    </xdr:from>
    <xdr:to>
      <xdr:col>11</xdr:col>
      <xdr:colOff>352425</xdr:colOff>
      <xdr:row>43</xdr:row>
      <xdr:rowOff>219075</xdr:rowOff>
    </xdr:to>
    <xdr:cxnSp macro="">
      <xdr:nvCxnSpPr>
        <xdr:cNvPr id="8" name="Прямая со стрелко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13335000" y="10287000"/>
          <a:ext cx="9525" cy="12287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2164880</xdr:colOff>
      <xdr:row>48</xdr:row>
      <xdr:rowOff>94154</xdr:rowOff>
    </xdr:from>
    <xdr:to>
      <xdr:col>11</xdr:col>
      <xdr:colOff>618367</xdr:colOff>
      <xdr:row>48</xdr:row>
      <xdr:rowOff>95478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2575705" y="12333779"/>
          <a:ext cx="901412" cy="1324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2028160</xdr:colOff>
      <xdr:row>43</xdr:row>
      <xdr:rowOff>237357</xdr:rowOff>
    </xdr:from>
    <xdr:to>
      <xdr:col>11</xdr:col>
      <xdr:colOff>499310</xdr:colOff>
      <xdr:row>43</xdr:row>
      <xdr:rowOff>238627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2572335" y="11534007"/>
          <a:ext cx="919075" cy="127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532772</xdr:colOff>
      <xdr:row>52</xdr:row>
      <xdr:rowOff>190500</xdr:rowOff>
    </xdr:from>
    <xdr:to>
      <xdr:col>4</xdr:col>
      <xdr:colOff>542925</xdr:colOff>
      <xdr:row>57</xdr:row>
      <xdr:rowOff>19050</xdr:rowOff>
    </xdr:to>
    <xdr:cxnSp macro="">
      <xdr:nvCxnSpPr>
        <xdr:cNvPr id="12" name="Прямая со стрелко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4523747" y="13249275"/>
          <a:ext cx="10153" cy="1533525"/>
        </a:xfrm>
        <a:prstGeom prst="straightConnector1">
          <a:avLst/>
        </a:prstGeom>
        <a:ln w="2222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1647825</xdr:colOff>
      <xdr:row>2</xdr:row>
      <xdr:rowOff>12435</xdr:rowOff>
    </xdr:from>
    <xdr:to>
      <xdr:col>11</xdr:col>
      <xdr:colOff>280</xdr:colOff>
      <xdr:row>13</xdr:row>
      <xdr:rowOff>32657</xdr:rowOff>
    </xdr:to>
    <xdr:pic>
      <xdr:nvPicPr>
        <xdr:cNvPr id="15" name="Grafik 1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4000" contrast="-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92368" y="611149"/>
          <a:ext cx="3646994" cy="26001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76200</xdr:rowOff>
    </xdr:from>
    <xdr:to>
      <xdr:col>4</xdr:col>
      <xdr:colOff>419100</xdr:colOff>
      <xdr:row>101</xdr:row>
      <xdr:rowOff>72028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9278600"/>
          <a:ext cx="4410075" cy="421540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77</xdr:row>
      <xdr:rowOff>88914</xdr:rowOff>
    </xdr:from>
    <xdr:to>
      <xdr:col>11</xdr:col>
      <xdr:colOff>1604291</xdr:colOff>
      <xdr:row>104</xdr:row>
      <xdr:rowOff>152399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29175" y="19291314"/>
          <a:ext cx="9767216" cy="47688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97354</xdr:rowOff>
    </xdr:from>
    <xdr:to>
      <xdr:col>9</xdr:col>
      <xdr:colOff>2047874</xdr:colOff>
      <xdr:row>135</xdr:row>
      <xdr:rowOff>69689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3519329"/>
          <a:ext cx="9858374" cy="5477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57150</xdr:rowOff>
    </xdr:from>
    <xdr:to>
      <xdr:col>9</xdr:col>
      <xdr:colOff>1743075</xdr:colOff>
      <xdr:row>158</xdr:row>
      <xdr:rowOff>68528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8984575"/>
          <a:ext cx="9553575" cy="3735653"/>
        </a:xfrm>
        <a:prstGeom prst="rect">
          <a:avLst/>
        </a:prstGeom>
      </xdr:spPr>
    </xdr:pic>
    <xdr:clientData/>
  </xdr:twoCellAnchor>
  <xdr:twoCellAnchor editAs="oneCell">
    <xdr:from>
      <xdr:col>9</xdr:col>
      <xdr:colOff>1752600</xdr:colOff>
      <xdr:row>135</xdr:row>
      <xdr:rowOff>47625</xdr:rowOff>
    </xdr:from>
    <xdr:to>
      <xdr:col>11</xdr:col>
      <xdr:colOff>824262</xdr:colOff>
      <xdr:row>158</xdr:row>
      <xdr:rowOff>76200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63100" y="28975050"/>
          <a:ext cx="4253262" cy="3752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47625</xdr:rowOff>
    </xdr:from>
    <xdr:to>
      <xdr:col>11</xdr:col>
      <xdr:colOff>845818</xdr:colOff>
      <xdr:row>198</xdr:row>
      <xdr:rowOff>57149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9000" contrast="9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32699325"/>
          <a:ext cx="13837918" cy="6486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16</xdr:row>
      <xdr:rowOff>28575</xdr:rowOff>
    </xdr:from>
    <xdr:to>
      <xdr:col>8</xdr:col>
      <xdr:colOff>695325</xdr:colOff>
      <xdr:row>29</xdr:row>
      <xdr:rowOff>114300</xdr:rowOff>
    </xdr:to>
    <xdr:pic>
      <xdr:nvPicPr>
        <xdr:cNvPr id="15632" name="Рисунок 1">
          <a:extLst>
            <a:ext uri="{FF2B5EF4-FFF2-40B4-BE49-F238E27FC236}">
              <a16:creationId xmlns:a16="http://schemas.microsoft.com/office/drawing/2014/main" id="{00000000-0008-0000-0A00-000010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695700"/>
          <a:ext cx="39814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1516257</xdr:colOff>
      <xdr:row>0</xdr:row>
      <xdr:rowOff>8284</xdr:rowOff>
    </xdr:from>
    <xdr:ext cx="8115876" cy="530086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516257" y="8284"/>
          <a:ext cx="8115876" cy="53008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24848</xdr:colOff>
      <xdr:row>0</xdr:row>
      <xdr:rowOff>0</xdr:rowOff>
    </xdr:from>
    <xdr:ext cx="8647043" cy="521804"/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4848" y="0"/>
          <a:ext cx="8647043" cy="52180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TANDEMBOX intivo</a:t>
          </a:r>
          <a:endParaRPr lang="ru-RU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66675</xdr:colOff>
      <xdr:row>46</xdr:row>
      <xdr:rowOff>38100</xdr:rowOff>
    </xdr:from>
    <xdr:to>
      <xdr:col>8</xdr:col>
      <xdr:colOff>809625</xdr:colOff>
      <xdr:row>59</xdr:row>
      <xdr:rowOff>123825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705225"/>
          <a:ext cx="413385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60</xdr:row>
      <xdr:rowOff>28575</xdr:rowOff>
    </xdr:from>
    <xdr:to>
      <xdr:col>8</xdr:col>
      <xdr:colOff>828675</xdr:colOff>
      <xdr:row>73</xdr:row>
      <xdr:rowOff>161925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6000750"/>
          <a:ext cx="419100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8284</xdr:colOff>
      <xdr:row>30</xdr:row>
      <xdr:rowOff>8284</xdr:rowOff>
    </xdr:from>
    <xdr:ext cx="8680174" cy="546651"/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8284" y="8284"/>
          <a:ext cx="8680174" cy="546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TANDEMBOX antaro</a:t>
          </a:r>
          <a:endParaRPr lang="ru-RU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19050</xdr:colOff>
      <xdr:row>90</xdr:row>
      <xdr:rowOff>28575</xdr:rowOff>
    </xdr:from>
    <xdr:to>
      <xdr:col>8</xdr:col>
      <xdr:colOff>800100</xdr:colOff>
      <xdr:row>104</xdr:row>
      <xdr:rowOff>9525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686175"/>
          <a:ext cx="41719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41414</xdr:colOff>
      <xdr:row>74</xdr:row>
      <xdr:rowOff>41414</xdr:rowOff>
    </xdr:from>
    <xdr:ext cx="8655326" cy="472108"/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41414" y="41414"/>
          <a:ext cx="8655326" cy="47210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TANDEMBOX</a:t>
          </a:r>
          <a:r>
            <a:rPr lang="en-US" sz="32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plus</a:t>
          </a:r>
          <a:endParaRPr lang="ru-RU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38100</xdr:rowOff>
    </xdr:from>
    <xdr:to>
      <xdr:col>6</xdr:col>
      <xdr:colOff>781050</xdr:colOff>
      <xdr:row>35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29100"/>
          <a:ext cx="8496300" cy="50863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9</xdr:row>
      <xdr:rowOff>38101</xdr:rowOff>
    </xdr:from>
    <xdr:to>
      <xdr:col>8</xdr:col>
      <xdr:colOff>1476375</xdr:colOff>
      <xdr:row>19</xdr:row>
      <xdr:rowOff>190501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6" y="4229101"/>
          <a:ext cx="2943224" cy="2057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40190</xdr:rowOff>
    </xdr:from>
    <xdr:to>
      <xdr:col>6</xdr:col>
      <xdr:colOff>971550</xdr:colOff>
      <xdr:row>32</xdr:row>
      <xdr:rowOff>135968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0403"/>
          <a:ext cx="8719324" cy="4765352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304802</xdr:colOff>
      <xdr:row>7</xdr:row>
      <xdr:rowOff>28575</xdr:rowOff>
    </xdr:from>
    <xdr:to>
      <xdr:col>8</xdr:col>
      <xdr:colOff>1219201</xdr:colOff>
      <xdr:row>12</xdr:row>
      <xdr:rowOff>161925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7" y="3419475"/>
          <a:ext cx="2409824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28575</xdr:colOff>
      <xdr:row>7</xdr:row>
      <xdr:rowOff>19050</xdr:rowOff>
    </xdr:from>
    <xdr:to>
      <xdr:col>10</xdr:col>
      <xdr:colOff>0</xdr:colOff>
      <xdr:row>12</xdr:row>
      <xdr:rowOff>171450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3409950"/>
          <a:ext cx="15525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17190</xdr:rowOff>
    </xdr:from>
    <xdr:to>
      <xdr:col>1</xdr:col>
      <xdr:colOff>3087774</xdr:colOff>
      <xdr:row>1</xdr:row>
      <xdr:rowOff>1409699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" y="571943"/>
          <a:ext cx="3675813" cy="1392509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1</xdr:row>
      <xdr:rowOff>76200</xdr:rowOff>
    </xdr:from>
    <xdr:to>
      <xdr:col>3</xdr:col>
      <xdr:colOff>1981200</xdr:colOff>
      <xdr:row>1</xdr:row>
      <xdr:rowOff>1390650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150" y="542925"/>
          <a:ext cx="1590675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</xdr:row>
      <xdr:rowOff>28575</xdr:rowOff>
    </xdr:from>
    <xdr:to>
      <xdr:col>2</xdr:col>
      <xdr:colOff>2047875</xdr:colOff>
      <xdr:row>1</xdr:row>
      <xdr:rowOff>1390650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3300" y="495300"/>
          <a:ext cx="1628775" cy="13620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1</xdr:rowOff>
    </xdr:from>
    <xdr:to>
      <xdr:col>5</xdr:col>
      <xdr:colOff>1</xdr:colOff>
      <xdr:row>2</xdr:row>
      <xdr:rowOff>20935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08571" y="554754"/>
          <a:ext cx="2784231" cy="144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2136694" cy="609600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1"/>
          <a:ext cx="12136694" cy="6096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HS top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10</xdr:col>
      <xdr:colOff>17991</xdr:colOff>
      <xdr:row>2</xdr:row>
      <xdr:rowOff>20108</xdr:rowOff>
    </xdr:from>
    <xdr:to>
      <xdr:col>11</xdr:col>
      <xdr:colOff>1589614</xdr:colOff>
      <xdr:row>8</xdr:row>
      <xdr:rowOff>370417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1491" y="877358"/>
          <a:ext cx="3434290" cy="28691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61384</xdr:rowOff>
    </xdr:from>
    <xdr:to>
      <xdr:col>3</xdr:col>
      <xdr:colOff>326055</xdr:colOff>
      <xdr:row>55</xdr:row>
      <xdr:rowOff>99484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271934"/>
          <a:ext cx="5098080" cy="4733925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28</xdr:row>
      <xdr:rowOff>50799</xdr:rowOff>
    </xdr:from>
    <xdr:to>
      <xdr:col>8</xdr:col>
      <xdr:colOff>987022</xdr:colOff>
      <xdr:row>58</xdr:row>
      <xdr:rowOff>966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4925" y="8585199"/>
          <a:ext cx="6387697" cy="4807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97366</xdr:rowOff>
    </xdr:from>
    <xdr:to>
      <xdr:col>8</xdr:col>
      <xdr:colOff>1001514</xdr:colOff>
      <xdr:row>116</xdr:row>
      <xdr:rowOff>47625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128191"/>
          <a:ext cx="11517114" cy="432223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55</xdr:row>
      <xdr:rowOff>114299</xdr:rowOff>
    </xdr:from>
    <xdr:to>
      <xdr:col>8</xdr:col>
      <xdr:colOff>1011021</xdr:colOff>
      <xdr:row>89</xdr:row>
      <xdr:rowOff>110602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13020674"/>
          <a:ext cx="11526620" cy="550175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116</xdr:row>
      <xdr:rowOff>95251</xdr:rowOff>
    </xdr:from>
    <xdr:to>
      <xdr:col>3</xdr:col>
      <xdr:colOff>832785</xdr:colOff>
      <xdr:row>146</xdr:row>
      <xdr:rowOff>133350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1" y="22498051"/>
          <a:ext cx="5566709" cy="489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624930" cy="515573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8624930" cy="51557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HL top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28575</xdr:colOff>
      <xdr:row>8</xdr:row>
      <xdr:rowOff>28575</xdr:rowOff>
    </xdr:from>
    <xdr:to>
      <xdr:col>8</xdr:col>
      <xdr:colOff>1762124</xdr:colOff>
      <xdr:row>15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0" y="2524125"/>
          <a:ext cx="1733549" cy="2876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26456</xdr:rowOff>
    </xdr:from>
    <xdr:to>
      <xdr:col>3</xdr:col>
      <xdr:colOff>709083</xdr:colOff>
      <xdr:row>56</xdr:row>
      <xdr:rowOff>116364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10000" contrast="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9625539"/>
          <a:ext cx="5069416" cy="4376158"/>
        </a:xfrm>
        <a:prstGeom prst="rect">
          <a:avLst/>
        </a:prstGeom>
      </xdr:spPr>
    </xdr:pic>
    <xdr:clientData/>
  </xdr:twoCellAnchor>
  <xdr:twoCellAnchor editAs="oneCell">
    <xdr:from>
      <xdr:col>4</xdr:col>
      <xdr:colOff>67735</xdr:colOff>
      <xdr:row>30</xdr:row>
      <xdr:rowOff>124883</xdr:rowOff>
    </xdr:from>
    <xdr:to>
      <xdr:col>7</xdr:col>
      <xdr:colOff>889001</xdr:colOff>
      <xdr:row>53</xdr:row>
      <xdr:rowOff>131426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12000" contras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4152" y="9882716"/>
          <a:ext cx="4260849" cy="3657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98424</xdr:rowOff>
    </xdr:from>
    <xdr:to>
      <xdr:col>3</xdr:col>
      <xdr:colOff>761999</xdr:colOff>
      <xdr:row>77</xdr:row>
      <xdr:rowOff>117406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8000" contrast="1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3983757"/>
          <a:ext cx="5122332" cy="33527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124884</xdr:rowOff>
    </xdr:from>
    <xdr:to>
      <xdr:col>7</xdr:col>
      <xdr:colOff>712186</xdr:colOff>
      <xdr:row>108</xdr:row>
      <xdr:rowOff>42334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6000" contrast="1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7343967"/>
          <a:ext cx="9348186" cy="483870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108</xdr:row>
      <xdr:rowOff>119549</xdr:rowOff>
    </xdr:from>
    <xdr:to>
      <xdr:col>7</xdr:col>
      <xdr:colOff>746752</xdr:colOff>
      <xdr:row>143</xdr:row>
      <xdr:rowOff>148167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" contras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333" y="22259882"/>
          <a:ext cx="9340419" cy="5584868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126999</xdr:colOff>
      <xdr:row>144</xdr:row>
      <xdr:rowOff>87353</xdr:rowOff>
    </xdr:from>
    <xdr:to>
      <xdr:col>7</xdr:col>
      <xdr:colOff>762104</xdr:colOff>
      <xdr:row>168</xdr:row>
      <xdr:rowOff>21167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10000" contrast="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6999" y="27942686"/>
          <a:ext cx="9271105" cy="37438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125941</xdr:rowOff>
    </xdr:from>
    <xdr:to>
      <xdr:col>5</xdr:col>
      <xdr:colOff>31750</xdr:colOff>
      <xdr:row>194</xdr:row>
      <xdr:rowOff>108305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6000" contrast="3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31950024"/>
          <a:ext cx="6032500" cy="39511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9526</xdr:rowOff>
    </xdr:from>
    <xdr:ext cx="9048750" cy="600074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9050" y="9526"/>
          <a:ext cx="9048750" cy="6000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 top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>
    <xdr:from>
      <xdr:col>7</xdr:col>
      <xdr:colOff>19050</xdr:colOff>
      <xdr:row>1</xdr:row>
      <xdr:rowOff>19050</xdr:rowOff>
    </xdr:from>
    <xdr:to>
      <xdr:col>7</xdr:col>
      <xdr:colOff>2076450</xdr:colOff>
      <xdr:row>6</xdr:row>
      <xdr:rowOff>228600</xdr:rowOff>
    </xdr:to>
    <xdr:pic>
      <xdr:nvPicPr>
        <xdr:cNvPr id="5" name="Рисунок 4" descr="Blum_KLA0582_#SALL_#AOF4_#V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619125"/>
          <a:ext cx="20574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11205</xdr:rowOff>
    </xdr:from>
    <xdr:to>
      <xdr:col>7</xdr:col>
      <xdr:colOff>2125182</xdr:colOff>
      <xdr:row>57</xdr:row>
      <xdr:rowOff>49695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43988"/>
          <a:ext cx="10250421" cy="6134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57150</xdr:rowOff>
    </xdr:from>
    <xdr:to>
      <xdr:col>8</xdr:col>
      <xdr:colOff>5807</xdr:colOff>
      <xdr:row>115</xdr:row>
      <xdr:rowOff>6626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30075"/>
          <a:ext cx="10292807" cy="901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24641</xdr:rowOff>
    </xdr:from>
    <xdr:to>
      <xdr:col>7</xdr:col>
      <xdr:colOff>2143125</xdr:colOff>
      <xdr:row>159</xdr:row>
      <xdr:rowOff>77384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065366"/>
          <a:ext cx="10277475" cy="717744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159</xdr:row>
      <xdr:rowOff>107797</xdr:rowOff>
    </xdr:from>
    <xdr:to>
      <xdr:col>7</xdr:col>
      <xdr:colOff>2133601</xdr:colOff>
      <xdr:row>195</xdr:row>
      <xdr:rowOff>15057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8273222"/>
          <a:ext cx="10267950" cy="5736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</xdr:row>
      <xdr:rowOff>0</xdr:rowOff>
    </xdr:from>
    <xdr:to>
      <xdr:col>8</xdr:col>
      <xdr:colOff>2419350</xdr:colOff>
      <xdr:row>6</xdr:row>
      <xdr:rowOff>361950</xdr:rowOff>
    </xdr:to>
    <xdr:pic>
      <xdr:nvPicPr>
        <xdr:cNvPr id="10313" name="Рисунок 4">
          <a:extLst>
            <a:ext uri="{FF2B5EF4-FFF2-40B4-BE49-F238E27FC236}">
              <a16:creationId xmlns:a16="http://schemas.microsoft.com/office/drawing/2014/main" id="{00000000-0008-0000-0500-00004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628650"/>
          <a:ext cx="240982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0</xdr:row>
      <xdr:rowOff>0</xdr:rowOff>
    </xdr:from>
    <xdr:ext cx="10182224" cy="628650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" y="0"/>
          <a:ext cx="10182224" cy="6286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HK-S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76200</xdr:colOff>
      <xdr:row>26</xdr:row>
      <xdr:rowOff>57150</xdr:rowOff>
    </xdr:from>
    <xdr:to>
      <xdr:col>8</xdr:col>
      <xdr:colOff>57150</xdr:colOff>
      <xdr:row>93</xdr:row>
      <xdr:rowOff>108887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267825"/>
          <a:ext cx="9448800" cy="10900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6</xdr:col>
      <xdr:colOff>88900</xdr:colOff>
      <xdr:row>115</xdr:row>
      <xdr:rowOff>136525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8700"/>
          <a:ext cx="7499350" cy="36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1</xdr:row>
      <xdr:rowOff>0</xdr:rowOff>
    </xdr:from>
    <xdr:to>
      <xdr:col>11</xdr:col>
      <xdr:colOff>743857</xdr:colOff>
      <xdr:row>5</xdr:row>
      <xdr:rowOff>130969</xdr:rowOff>
    </xdr:to>
    <xdr:pic>
      <xdr:nvPicPr>
        <xdr:cNvPr id="17742" name="Рисунок 5">
          <a:extLst>
            <a:ext uri="{FF2B5EF4-FFF2-40B4-BE49-F238E27FC236}">
              <a16:creationId xmlns:a16="http://schemas.microsoft.com/office/drawing/2014/main" id="{00000000-0008-0000-0600-00004E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8513" y="595313"/>
          <a:ext cx="2247900" cy="139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5</xdr:row>
      <xdr:rowOff>130970</xdr:rowOff>
    </xdr:from>
    <xdr:to>
      <xdr:col>12</xdr:col>
      <xdr:colOff>4082</xdr:colOff>
      <xdr:row>8</xdr:row>
      <xdr:rowOff>295276</xdr:rowOff>
    </xdr:to>
    <xdr:pic>
      <xdr:nvPicPr>
        <xdr:cNvPr id="17743" name="Рисунок 6">
          <a:extLst>
            <a:ext uri="{FF2B5EF4-FFF2-40B4-BE49-F238E27FC236}">
              <a16:creationId xmlns:a16="http://schemas.microsoft.com/office/drawing/2014/main" id="{00000000-0008-0000-0600-00004F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9463" y="1988345"/>
          <a:ext cx="2276475" cy="1212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5037594" cy="595313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0"/>
          <a:ext cx="15037594" cy="59531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9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HK-XS</a:t>
          </a:r>
          <a:endParaRPr lang="ru-RU" sz="39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13</xdr:col>
      <xdr:colOff>482571</xdr:colOff>
      <xdr:row>22</xdr:row>
      <xdr:rowOff>43435</xdr:rowOff>
    </xdr:from>
    <xdr:to>
      <xdr:col>16</xdr:col>
      <xdr:colOff>881257</xdr:colOff>
      <xdr:row>28</xdr:row>
      <xdr:rowOff>332200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0000"/>
                  </a14:imgEffect>
                  <a14:imgEffect>
                    <a14:brightnessContrast bright="5000" contrast="-22000"/>
                  </a14:imgEffect>
                </a14:imgLayer>
              </a14:imgProps>
            </a:ext>
          </a:extLst>
        </a:blip>
        <a:srcRect b="6612"/>
        <a:stretch/>
      </xdr:blipFill>
      <xdr:spPr>
        <a:xfrm>
          <a:off x="11493471" y="9396985"/>
          <a:ext cx="2960911" cy="35939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9525</xdr:rowOff>
        </xdr:from>
        <xdr:to>
          <xdr:col>15</xdr:col>
          <xdr:colOff>0</xdr:colOff>
          <xdr:row>22</xdr:row>
          <xdr:rowOff>57150</xdr:rowOff>
        </xdr:to>
        <xdr:sp macro="" textlink="">
          <xdr:nvSpPr>
            <xdr:cNvPr id="17439" name="Drop Down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6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762000</xdr:colOff>
          <xdr:row>21</xdr:row>
          <xdr:rowOff>0</xdr:rowOff>
        </xdr:from>
        <xdr:to>
          <xdr:col>16</xdr:col>
          <xdr:colOff>876300</xdr:colOff>
          <xdr:row>22</xdr:row>
          <xdr:rowOff>38100</xdr:rowOff>
        </xdr:to>
        <xdr:sp macro="" textlink="">
          <xdr:nvSpPr>
            <xdr:cNvPr id="17442" name="Drop Down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6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504825</xdr:colOff>
      <xdr:row>24</xdr:row>
      <xdr:rowOff>103968</xdr:rowOff>
    </xdr:from>
    <xdr:to>
      <xdr:col>13</xdr:col>
      <xdr:colOff>510337</xdr:colOff>
      <xdr:row>27</xdr:row>
      <xdr:rowOff>47625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H="1">
          <a:off x="11515725" y="10333818"/>
          <a:ext cx="5512" cy="188675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22677</xdr:colOff>
      <xdr:row>22</xdr:row>
      <xdr:rowOff>22679</xdr:rowOff>
    </xdr:from>
    <xdr:to>
      <xdr:col>22</xdr:col>
      <xdr:colOff>73316</xdr:colOff>
      <xdr:row>28</xdr:row>
      <xdr:rowOff>313151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40862" y="9260624"/>
          <a:ext cx="3443105" cy="3578554"/>
        </a:xfrm>
        <a:prstGeom prst="rect">
          <a:avLst/>
        </a:prstGeom>
      </xdr:spPr>
    </xdr:pic>
    <xdr:clientData/>
  </xdr:twoCellAnchor>
  <xdr:twoCellAnchor>
    <xdr:from>
      <xdr:col>21</xdr:col>
      <xdr:colOff>1542162</xdr:colOff>
      <xdr:row>26</xdr:row>
      <xdr:rowOff>111331</xdr:rowOff>
    </xdr:from>
    <xdr:to>
      <xdr:col>22</xdr:col>
      <xdr:colOff>606137</xdr:colOff>
      <xdr:row>26</xdr:row>
      <xdr:rowOff>114070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18365539" y="11726883"/>
          <a:ext cx="665906" cy="27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542925</xdr:colOff>
          <xdr:row>21</xdr:row>
          <xdr:rowOff>0</xdr:rowOff>
        </xdr:from>
        <xdr:to>
          <xdr:col>21</xdr:col>
          <xdr:colOff>9525</xdr:colOff>
          <xdr:row>22</xdr:row>
          <xdr:rowOff>19050</xdr:rowOff>
        </xdr:to>
        <xdr:sp macro="" textlink="">
          <xdr:nvSpPr>
            <xdr:cNvPr id="17448" name="Drop Down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6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22</xdr:col>
          <xdr:colOff>666750</xdr:colOff>
          <xdr:row>22</xdr:row>
          <xdr:rowOff>19050</xdr:rowOff>
        </xdr:to>
        <xdr:sp macro="" textlink="">
          <xdr:nvSpPr>
            <xdr:cNvPr id="17450" name="Drop Down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6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342900</xdr:colOff>
      <xdr:row>24</xdr:row>
      <xdr:rowOff>57150</xdr:rowOff>
    </xdr:from>
    <xdr:to>
      <xdr:col>13</xdr:col>
      <xdr:colOff>485777</xdr:colOff>
      <xdr:row>24</xdr:row>
      <xdr:rowOff>85727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H="1" flipV="1">
          <a:off x="11353800" y="10287000"/>
          <a:ext cx="142877" cy="285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342900</xdr:colOff>
      <xdr:row>27</xdr:row>
      <xdr:rowOff>28575</xdr:rowOff>
    </xdr:from>
    <xdr:to>
      <xdr:col>13</xdr:col>
      <xdr:colOff>476251</xdr:colOff>
      <xdr:row>27</xdr:row>
      <xdr:rowOff>47627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>
        <a:xfrm flipH="1" flipV="1">
          <a:off x="11353800" y="12201525"/>
          <a:ext cx="133351" cy="190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54307</xdr:colOff>
      <xdr:row>22</xdr:row>
      <xdr:rowOff>268803</xdr:rowOff>
    </xdr:from>
    <xdr:to>
      <xdr:col>22</xdr:col>
      <xdr:colOff>531916</xdr:colOff>
      <xdr:row>22</xdr:row>
      <xdr:rowOff>269547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CxnSpPr/>
      </xdr:nvCxnSpPr>
      <xdr:spPr>
        <a:xfrm flipV="1">
          <a:off x="18466132" y="9622353"/>
          <a:ext cx="477609" cy="7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70266</xdr:colOff>
      <xdr:row>25</xdr:row>
      <xdr:rowOff>378658</xdr:rowOff>
    </xdr:from>
    <xdr:to>
      <xdr:col>22</xdr:col>
      <xdr:colOff>534805</xdr:colOff>
      <xdr:row>25</xdr:row>
      <xdr:rowOff>382561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CxnSpPr/>
      </xdr:nvCxnSpPr>
      <xdr:spPr>
        <a:xfrm flipV="1">
          <a:off x="18483965" y="11133320"/>
          <a:ext cx="464539" cy="39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445325</xdr:colOff>
      <xdr:row>22</xdr:row>
      <xdr:rowOff>284513</xdr:rowOff>
    </xdr:from>
    <xdr:to>
      <xdr:col>22</xdr:col>
      <xdr:colOff>451510</xdr:colOff>
      <xdr:row>25</xdr:row>
      <xdr:rowOff>377289</xdr:rowOff>
    </xdr:to>
    <xdr:cxnSp macro="">
      <xdr:nvCxnSpPr>
        <xdr:cNvPr id="34" name="Прямая со стрелкой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/>
      </xdr:nvCxnSpPr>
      <xdr:spPr>
        <a:xfrm>
          <a:off x="18870633" y="9630146"/>
          <a:ext cx="6185" cy="14967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40</xdr:row>
      <xdr:rowOff>9525</xdr:rowOff>
    </xdr:from>
    <xdr:to>
      <xdr:col>6</xdr:col>
      <xdr:colOff>302933</xdr:colOff>
      <xdr:row>89</xdr:row>
      <xdr:rowOff>133350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7621250"/>
          <a:ext cx="6389408" cy="80581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40</xdr:row>
      <xdr:rowOff>9525</xdr:rowOff>
    </xdr:from>
    <xdr:to>
      <xdr:col>12</xdr:col>
      <xdr:colOff>27890</xdr:colOff>
      <xdr:row>87</xdr:row>
      <xdr:rowOff>28575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19850" y="17621250"/>
          <a:ext cx="4409390" cy="7629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114299</xdr:rowOff>
    </xdr:from>
    <xdr:to>
      <xdr:col>6</xdr:col>
      <xdr:colOff>266700</xdr:colOff>
      <xdr:row>112</xdr:row>
      <xdr:rowOff>60660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5822274"/>
          <a:ext cx="6353175" cy="3508711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276224</xdr:colOff>
      <xdr:row>87</xdr:row>
      <xdr:rowOff>95251</xdr:rowOff>
    </xdr:from>
    <xdr:to>
      <xdr:col>12</xdr:col>
      <xdr:colOff>9524</xdr:colOff>
      <xdr:row>113</xdr:row>
      <xdr:rowOff>65144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62699" y="25317451"/>
          <a:ext cx="4448175" cy="41799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223</xdr:rowOff>
    </xdr:from>
    <xdr:ext cx="7021918" cy="1895894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926"/>
          <a:ext cx="7021918" cy="189589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</xdr:rowOff>
    </xdr:from>
    <xdr:ext cx="2" cy="533398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 flipH="1">
          <a:off x="0" y="2"/>
          <a:ext cx="2" cy="533398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276892</xdr:colOff>
      <xdr:row>14</xdr:row>
      <xdr:rowOff>22153</xdr:rowOff>
    </xdr:from>
    <xdr:ext cx="2901802" cy="239232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270" y="2923955"/>
          <a:ext cx="2901802" cy="2392325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</xdr:row>
      <xdr:rowOff>9524</xdr:rowOff>
    </xdr:from>
    <xdr:ext cx="4109040" cy="2471405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4070" y="674059"/>
          <a:ext cx="4109040" cy="24714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19050</xdr:rowOff>
    </xdr:from>
    <xdr:ext cx="7315200" cy="2146300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48550"/>
          <a:ext cx="7315200" cy="2146300"/>
        </a:xfrm>
        <a:prstGeom prst="rect">
          <a:avLst/>
        </a:prstGeom>
      </xdr:spPr>
    </xdr:pic>
    <xdr:clientData/>
  </xdr:oneCellAnchor>
  <xdr:oneCellAnchor>
    <xdr:from>
      <xdr:col>10</xdr:col>
      <xdr:colOff>295276</xdr:colOff>
      <xdr:row>33</xdr:row>
      <xdr:rowOff>9525</xdr:rowOff>
    </xdr:from>
    <xdr:ext cx="3848100" cy="2133600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6" y="7439025"/>
          <a:ext cx="3848100" cy="2133600"/>
        </a:xfrm>
        <a:prstGeom prst="rect">
          <a:avLst/>
        </a:prstGeom>
      </xdr:spPr>
    </xdr:pic>
    <xdr:clientData/>
  </xdr:oneCellAnchor>
  <xdr:oneCellAnchor>
    <xdr:from>
      <xdr:col>11</xdr:col>
      <xdr:colOff>28575</xdr:colOff>
      <xdr:row>43</xdr:row>
      <xdr:rowOff>9525</xdr:rowOff>
    </xdr:from>
    <xdr:ext cx="3800475" cy="2080183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lum bright="-4000" contrast="2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9582150"/>
          <a:ext cx="3800475" cy="2080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104775</xdr:colOff>
      <xdr:row>43</xdr:row>
      <xdr:rowOff>28575</xdr:rowOff>
    </xdr:from>
    <xdr:ext cx="3276600" cy="2047739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10000" contrast="-1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9601200"/>
          <a:ext cx="3276600" cy="2047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52</xdr:row>
      <xdr:rowOff>95250</xdr:rowOff>
    </xdr:from>
    <xdr:ext cx="11171071" cy="14837525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25275"/>
          <a:ext cx="11171071" cy="1483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130</xdr:row>
      <xdr:rowOff>85725</xdr:rowOff>
    </xdr:from>
    <xdr:ext cx="11188700" cy="16385141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74750"/>
          <a:ext cx="11188700" cy="1638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216</xdr:row>
      <xdr:rowOff>85725</xdr:rowOff>
    </xdr:from>
    <xdr:to>
      <xdr:col>37</xdr:col>
      <xdr:colOff>59624</xdr:colOff>
      <xdr:row>275</xdr:row>
      <xdr:rowOff>89264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57750"/>
          <a:ext cx="11222924" cy="11243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104775</xdr:rowOff>
    </xdr:from>
    <xdr:to>
      <xdr:col>37</xdr:col>
      <xdr:colOff>59624</xdr:colOff>
      <xdr:row>323</xdr:row>
      <xdr:rowOff>147583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16300"/>
          <a:ext cx="11222924" cy="9186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</xdr:colOff>
      <xdr:row>1</xdr:row>
      <xdr:rowOff>46464</xdr:rowOff>
    </xdr:from>
    <xdr:ext cx="5105400" cy="2631742"/>
    <xdr:pic>
      <xdr:nvPicPr>
        <xdr:cNvPr id="2" name="Рисунок 1" descr="Используемые при расчете плотности материалов:                               ДСП -- 680 кг/м³;                             Массив Ольхи -- 550 кг/м³;                                Массив Ясеня -- 750 кг/м³;                                   Массив Дуба -- 690 кг/м³;                                                       МДФ -- 760 кг/м³;                                                                 ДВП -- 900 кг/м³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3413" y="629170"/>
          <a:ext cx="5105400" cy="263174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9524</xdr:rowOff>
    </xdr:from>
    <xdr:ext cx="7951770" cy="2034866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317"/>
          <a:ext cx="7951770" cy="203486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3886200" cy="609600"/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0" y="1"/>
          <a:ext cx="3886200" cy="6096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136071</xdr:colOff>
      <xdr:row>22</xdr:row>
      <xdr:rowOff>146538</xdr:rowOff>
    </xdr:from>
    <xdr:ext cx="680357" cy="31401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4403271" y="4337538"/>
          <a:ext cx="680357" cy="314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 b="0"/>
            <a:t>Фасад</a:t>
          </a:r>
          <a:r>
            <a:rPr lang="ru-RU" sz="1100" b="1"/>
            <a:t> -</a:t>
          </a:r>
        </a:p>
      </xdr:txBody>
    </xdr:sp>
    <xdr:clientData/>
  </xdr:oneCellAnchor>
  <xdr:oneCellAnchor>
    <xdr:from>
      <xdr:col>7</xdr:col>
      <xdr:colOff>552450</xdr:colOff>
      <xdr:row>17</xdr:row>
      <xdr:rowOff>190500</xdr:rowOff>
    </xdr:from>
    <xdr:ext cx="92392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4819650" y="3429000"/>
          <a:ext cx="923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0"/>
            <a:t>Дно ящика</a:t>
          </a:r>
        </a:p>
      </xdr:txBody>
    </xdr:sp>
    <xdr:clientData/>
  </xdr:oneCellAnchor>
  <xdr:oneCellAnchor>
    <xdr:from>
      <xdr:col>4</xdr:col>
      <xdr:colOff>571500</xdr:colOff>
      <xdr:row>16</xdr:row>
      <xdr:rowOff>47625</xdr:rowOff>
    </xdr:from>
    <xdr:ext cx="171450" cy="160972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3009900" y="3095625"/>
          <a:ext cx="171450" cy="16097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Боковина</a:t>
          </a:r>
        </a:p>
      </xdr:txBody>
    </xdr:sp>
    <xdr:clientData/>
  </xdr:oneCellAnchor>
  <xdr:oneCellAnchor>
    <xdr:from>
      <xdr:col>8</xdr:col>
      <xdr:colOff>123823</xdr:colOff>
      <xdr:row>16</xdr:row>
      <xdr:rowOff>38100</xdr:rowOff>
    </xdr:from>
    <xdr:ext cx="304801" cy="146684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5000623" y="3086100"/>
          <a:ext cx="304801" cy="14668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Боковина</a:t>
          </a:r>
        </a:p>
      </xdr:txBody>
    </xdr:sp>
    <xdr:clientData/>
  </xdr:oneCellAnchor>
  <xdr:oneCellAnchor>
    <xdr:from>
      <xdr:col>7</xdr:col>
      <xdr:colOff>466726</xdr:colOff>
      <xdr:row>13</xdr:row>
      <xdr:rowOff>171449</xdr:rowOff>
    </xdr:from>
    <xdr:ext cx="1000124" cy="23812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4733926" y="2647949"/>
          <a:ext cx="1000124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Задняя царга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3058775" cy="5905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0" y="0"/>
          <a:ext cx="13058775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TIP-ON BLUMOTION </a:t>
          </a:r>
          <a:r>
            <a:rPr lang="ru-RU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для</a:t>
          </a:r>
          <a:r>
            <a:rPr lang="ru-RU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MOVENTO</a:t>
          </a:r>
          <a:endParaRPr lang="ru-RU" sz="3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32</xdr:row>
      <xdr:rowOff>224117</xdr:rowOff>
    </xdr:from>
    <xdr:to>
      <xdr:col>38</xdr:col>
      <xdr:colOff>36290</xdr:colOff>
      <xdr:row>77</xdr:row>
      <xdr:rowOff>33617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77735"/>
          <a:ext cx="13169584" cy="85388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156883</xdr:rowOff>
    </xdr:from>
    <xdr:to>
      <xdr:col>38</xdr:col>
      <xdr:colOff>56030</xdr:colOff>
      <xdr:row>112</xdr:row>
      <xdr:rowOff>71024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730383"/>
          <a:ext cx="13189324" cy="639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</xdr:rowOff>
    </xdr:from>
    <xdr:ext cx="2" cy="533398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 flipH="1">
          <a:off x="0" y="2"/>
          <a:ext cx="2" cy="533398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92102</xdr:colOff>
      <xdr:row>14</xdr:row>
      <xdr:rowOff>22149</xdr:rowOff>
    </xdr:from>
    <xdr:to>
      <xdr:col>11</xdr:col>
      <xdr:colOff>6078</xdr:colOff>
      <xdr:row>24</xdr:row>
      <xdr:rowOff>231035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480" y="3045783"/>
          <a:ext cx="3056081" cy="258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10702</xdr:rowOff>
    </xdr:from>
    <xdr:to>
      <xdr:col>8</xdr:col>
      <xdr:colOff>32107</xdr:colOff>
      <xdr:row>11</xdr:row>
      <xdr:rowOff>36288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4241"/>
          <a:ext cx="6485562" cy="1941289"/>
        </a:xfrm>
        <a:prstGeom prst="rect">
          <a:avLst/>
        </a:prstGeom>
        <a:effectLst>
          <a:glow>
            <a:schemeClr val="accent1">
              <a:alpha val="79000"/>
            </a:schemeClr>
          </a:glow>
          <a:reflection endPos="0" dist="50800" dir="5400000" sy="-100000" algn="bl" rotWithShape="0"/>
          <a:softEdge rad="0"/>
        </a:effectLst>
      </xdr:spPr>
    </xdr:pic>
    <xdr:clientData/>
  </xdr:twoCellAnchor>
  <xdr:twoCellAnchor editAs="oneCell">
    <xdr:from>
      <xdr:col>12</xdr:col>
      <xdr:colOff>74916</xdr:colOff>
      <xdr:row>1</xdr:row>
      <xdr:rowOff>21406</xdr:rowOff>
    </xdr:from>
    <xdr:to>
      <xdr:col>37</xdr:col>
      <xdr:colOff>0</xdr:colOff>
      <xdr:row>13</xdr:row>
      <xdr:rowOff>139129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0871" y="684945"/>
          <a:ext cx="3371208" cy="2365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4</xdr:col>
      <xdr:colOff>652837</xdr:colOff>
      <xdr:row>47</xdr:row>
      <xdr:rowOff>114074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373848"/>
          <a:ext cx="4591264" cy="3046490"/>
        </a:xfrm>
        <a:prstGeom prst="rect">
          <a:avLst/>
        </a:prstGeom>
      </xdr:spPr>
    </xdr:pic>
    <xdr:clientData/>
  </xdr:twoCellAnchor>
  <xdr:twoCellAnchor editAs="oneCell">
    <xdr:from>
      <xdr:col>4</xdr:col>
      <xdr:colOff>642136</xdr:colOff>
      <xdr:row>33</xdr:row>
      <xdr:rowOff>21405</xdr:rowOff>
    </xdr:from>
    <xdr:to>
      <xdr:col>37</xdr:col>
      <xdr:colOff>5970</xdr:colOff>
      <xdr:row>43</xdr:row>
      <xdr:rowOff>53511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80563" y="7395253"/>
          <a:ext cx="6277486" cy="2193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72112</xdr:rowOff>
    </xdr:from>
    <xdr:to>
      <xdr:col>37</xdr:col>
      <xdr:colOff>32106</xdr:colOff>
      <xdr:row>64</xdr:row>
      <xdr:rowOff>14935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378376"/>
          <a:ext cx="10884185" cy="3217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64214</xdr:rowOff>
    </xdr:from>
    <xdr:to>
      <xdr:col>37</xdr:col>
      <xdr:colOff>32106</xdr:colOff>
      <xdr:row>85</xdr:row>
      <xdr:rowOff>124725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3645366"/>
          <a:ext cx="10884185" cy="4105960"/>
        </a:xfrm>
        <a:prstGeom prst="rect">
          <a:avLst/>
        </a:prstGeom>
      </xdr:spPr>
    </xdr:pic>
    <xdr:clientData/>
  </xdr:twoCellAnchor>
  <xdr:twoCellAnchor editAs="oneCell">
    <xdr:from>
      <xdr:col>0</xdr:col>
      <xdr:colOff>10703</xdr:colOff>
      <xdr:row>85</xdr:row>
      <xdr:rowOff>181939</xdr:rowOff>
    </xdr:from>
    <xdr:to>
      <xdr:col>37</xdr:col>
      <xdr:colOff>35660</xdr:colOff>
      <xdr:row>111</xdr:row>
      <xdr:rowOff>42809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03" y="17808540"/>
          <a:ext cx="10877036" cy="4869522"/>
        </a:xfrm>
        <a:prstGeom prst="rect">
          <a:avLst/>
        </a:prstGeom>
      </xdr:spPr>
    </xdr:pic>
    <xdr:clientData/>
  </xdr:twoCellAnchor>
  <xdr:twoCellAnchor editAs="oneCell">
    <xdr:from>
      <xdr:col>6</xdr:col>
      <xdr:colOff>10701</xdr:colOff>
      <xdr:row>111</xdr:row>
      <xdr:rowOff>42810</xdr:rowOff>
    </xdr:from>
    <xdr:to>
      <xdr:col>37</xdr:col>
      <xdr:colOff>48025</xdr:colOff>
      <xdr:row>140</xdr:row>
      <xdr:rowOff>181939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16010" y="22678063"/>
          <a:ext cx="6084094" cy="57257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107022</xdr:rowOff>
    </xdr:from>
    <xdr:to>
      <xdr:col>37</xdr:col>
      <xdr:colOff>222548</xdr:colOff>
      <xdr:row>229</xdr:row>
      <xdr:rowOff>76352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11074627" cy="1210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107021</xdr:rowOff>
    </xdr:from>
    <xdr:to>
      <xdr:col>37</xdr:col>
      <xdr:colOff>265285</xdr:colOff>
      <xdr:row>278</xdr:row>
      <xdr:rowOff>114512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66487"/>
          <a:ext cx="11117364" cy="925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143237</xdr:rowOff>
    </xdr:from>
    <xdr:to>
      <xdr:col>37</xdr:col>
      <xdr:colOff>246151</xdr:colOff>
      <xdr:row>347</xdr:row>
      <xdr:rowOff>165350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42085"/>
          <a:ext cx="11098230" cy="13121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96321</xdr:rowOff>
    </xdr:from>
    <xdr:to>
      <xdr:col>37</xdr:col>
      <xdr:colOff>786264</xdr:colOff>
      <xdr:row>166</xdr:row>
      <xdr:rowOff>139128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8147"/>
          <a:ext cx="11638343" cy="5051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85618</xdr:rowOff>
    </xdr:from>
    <xdr:to>
      <xdr:col>37</xdr:col>
      <xdr:colOff>557147</xdr:colOff>
      <xdr:row>419</xdr:row>
      <xdr:rowOff>149831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6657"/>
          <a:ext cx="11409226" cy="1374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129352</xdr:rowOff>
    </xdr:from>
    <xdr:to>
      <xdr:col>37</xdr:col>
      <xdr:colOff>160533</xdr:colOff>
      <xdr:row>488</xdr:row>
      <xdr:rowOff>102313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0504"/>
          <a:ext cx="11012612" cy="13072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@antarion.by?subject=&#1050;&#1072;&#1083;&#1100;&#1082;&#1091;&#1083;&#1103;&#1090;&#1086;&#1088;%20BLUM%202016" TargetMode="External"/><Relationship Id="rId13" Type="http://schemas.openxmlformats.org/officeDocument/2006/relationships/hyperlink" Target="https://www.blum.com/eu/en/products/liftsystems/aventos-hs-top/downloads-videos/" TargetMode="External"/><Relationship Id="rId3" Type="http://schemas.openxmlformats.org/officeDocument/2006/relationships/hyperlink" Target="https://publications.blum.com/2018/catalogue/ru/263/" TargetMode="External"/><Relationship Id="rId7" Type="http://schemas.openxmlformats.org/officeDocument/2006/relationships/hyperlink" Target="mailto:sergeytv@pan-invest.com?subject=&#1050;&#1072;&#1083;&#1100;&#1082;&#1091;&#1083;&#1103;&#1090;&#1086;&#1088;%20BLUM%202016" TargetMode="External"/><Relationship Id="rId12" Type="http://schemas.openxmlformats.org/officeDocument/2006/relationships/hyperlink" Target="https://www.blum.com/eu/en/products/liftsystems/aventos-hf-top/downloads-videos/" TargetMode="External"/><Relationship Id="rId2" Type="http://schemas.openxmlformats.org/officeDocument/2006/relationships/hyperlink" Target="http://www.blum.com/by/ru/01/10/60/" TargetMode="External"/><Relationship Id="rId1" Type="http://schemas.openxmlformats.org/officeDocument/2006/relationships/hyperlink" Target="http://www.blum.com/by/ru/01/10/50/" TargetMode="External"/><Relationship Id="rId6" Type="http://schemas.openxmlformats.org/officeDocument/2006/relationships/hyperlink" Target="https://publications.blum.com/2018/catalogue/ru/373/" TargetMode="External"/><Relationship Id="rId11" Type="http://schemas.openxmlformats.org/officeDocument/2006/relationships/hyperlink" Target="https://publications.blum.com/2018/catalogue/ru/263/" TargetMode="External"/><Relationship Id="rId5" Type="http://schemas.openxmlformats.org/officeDocument/2006/relationships/hyperlink" Target="https://publications.blum.com/2018/catalogue/ru/279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publications.blum.com/2018/catalogue/ru/298/" TargetMode="External"/><Relationship Id="rId4" Type="http://schemas.openxmlformats.org/officeDocument/2006/relationships/hyperlink" Target="https://publications.blum.com/2018/catalogue/ru/454/" TargetMode="External"/><Relationship Id="rId9" Type="http://schemas.openxmlformats.org/officeDocument/2006/relationships/hyperlink" Target="https://publications.blum.com/2018/catalogue/ru/220/" TargetMode="External"/><Relationship Id="rId14" Type="http://schemas.openxmlformats.org/officeDocument/2006/relationships/hyperlink" Target="https://www.blum.com/eu/en/products/liftsystems/aventos-hl-top/downloads-video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C41"/>
  <sheetViews>
    <sheetView showGridLines="0" showRowColHeaders="0" tabSelected="1" zoomScale="95" zoomScaleNormal="95" zoomScaleSheetLayoutView="93" workbookViewId="0">
      <selection activeCell="Z14" sqref="Z14"/>
    </sheetView>
  </sheetViews>
  <sheetFormatPr defaultRowHeight="12.75" x14ac:dyDescent="0.2"/>
  <cols>
    <col min="3" max="3" width="10.85546875" customWidth="1"/>
    <col min="4" max="4" width="11.7109375" customWidth="1"/>
    <col min="6" max="6" width="6.85546875" customWidth="1"/>
    <col min="7" max="7" width="7.85546875" customWidth="1"/>
    <col min="8" max="8" width="5.42578125" customWidth="1"/>
    <col min="9" max="9" width="8.42578125" customWidth="1"/>
    <col min="10" max="10" width="3.7109375" hidden="1" customWidth="1"/>
    <col min="11" max="12" width="9.140625" hidden="1" customWidth="1"/>
    <col min="13" max="13" width="6.85546875" hidden="1" customWidth="1"/>
    <col min="14" max="22" width="9.140625" hidden="1" customWidth="1"/>
    <col min="23" max="23" width="9" customWidth="1"/>
    <col min="24" max="24" width="13.42578125" customWidth="1"/>
    <col min="25" max="25" width="68.85546875" customWidth="1"/>
    <col min="26" max="26" width="28.85546875" customWidth="1"/>
    <col min="27" max="27" width="9.140625" hidden="1" customWidth="1"/>
  </cols>
  <sheetData>
    <row r="1" spans="1:29" ht="19.5" customHeight="1" x14ac:dyDescent="0.2">
      <c r="A1" s="709" t="s">
        <v>284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1"/>
    </row>
    <row r="2" spans="1:29" ht="16.5" customHeight="1" x14ac:dyDescent="0.2">
      <c r="A2" s="712"/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  <c r="V2" s="713"/>
      <c r="W2" s="713"/>
      <c r="X2" s="713"/>
      <c r="Y2" s="714"/>
    </row>
    <row r="3" spans="1:29" ht="17.25" customHeight="1" thickBot="1" x14ac:dyDescent="0.25">
      <c r="A3" s="715"/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7"/>
    </row>
    <row r="4" spans="1:29" ht="20.25" customHeight="1" x14ac:dyDescent="0.2">
      <c r="A4" s="706" t="s">
        <v>510</v>
      </c>
      <c r="B4" s="706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540" t="s">
        <v>292</v>
      </c>
    </row>
    <row r="5" spans="1:29" ht="20.25" customHeight="1" x14ac:dyDescent="0.2">
      <c r="A5" s="726" t="s">
        <v>511</v>
      </c>
      <c r="B5" s="727"/>
      <c r="C5" s="727"/>
      <c r="D5" s="727"/>
      <c r="E5" s="727"/>
      <c r="F5" s="727"/>
      <c r="G5" s="727"/>
      <c r="H5" s="727"/>
      <c r="I5" s="727"/>
      <c r="J5" s="727"/>
      <c r="K5" s="727"/>
      <c r="L5" s="727"/>
      <c r="M5" s="727"/>
      <c r="N5" s="727"/>
      <c r="O5" s="727"/>
      <c r="P5" s="727"/>
      <c r="Q5" s="727"/>
      <c r="R5" s="727"/>
      <c r="S5" s="727"/>
      <c r="T5" s="727"/>
      <c r="U5" s="727"/>
      <c r="V5" s="727"/>
      <c r="W5" s="727"/>
      <c r="X5" s="728"/>
      <c r="Y5" s="540" t="s">
        <v>292</v>
      </c>
    </row>
    <row r="6" spans="1:29" ht="21" customHeight="1" x14ac:dyDescent="0.2">
      <c r="A6" s="706" t="s">
        <v>512</v>
      </c>
      <c r="B6" s="707"/>
      <c r="C6" s="707"/>
      <c r="D6" s="707"/>
      <c r="E6" s="707"/>
      <c r="F6" s="707"/>
      <c r="G6" s="707"/>
      <c r="H6" s="707"/>
      <c r="I6" s="707"/>
      <c r="J6" s="707"/>
      <c r="K6" s="707"/>
      <c r="L6" s="707"/>
      <c r="M6" s="707"/>
      <c r="N6" s="707"/>
      <c r="O6" s="707"/>
      <c r="P6" s="707"/>
      <c r="Q6" s="707"/>
      <c r="R6" s="707"/>
      <c r="S6" s="707"/>
      <c r="T6" s="707"/>
      <c r="U6" s="707"/>
      <c r="V6" s="707"/>
      <c r="W6" s="707"/>
      <c r="X6" s="707"/>
      <c r="Y6" s="540" t="s">
        <v>292</v>
      </c>
    </row>
    <row r="7" spans="1:29" ht="21.75" customHeight="1" x14ac:dyDescent="0.2">
      <c r="A7" s="723" t="s">
        <v>513</v>
      </c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5"/>
      <c r="Y7" s="540" t="s">
        <v>292</v>
      </c>
      <c r="AC7" s="7"/>
    </row>
    <row r="8" spans="1:29" ht="21.75" customHeight="1" x14ac:dyDescent="0.2">
      <c r="A8" s="706" t="s">
        <v>514</v>
      </c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540" t="s">
        <v>292</v>
      </c>
    </row>
    <row r="9" spans="1:29" ht="22.5" customHeight="1" x14ac:dyDescent="0.2">
      <c r="A9" s="706" t="s">
        <v>515</v>
      </c>
      <c r="B9" s="706"/>
      <c r="C9" s="706"/>
      <c r="D9" s="706"/>
      <c r="E9" s="706"/>
      <c r="F9" s="706"/>
      <c r="G9" s="706"/>
      <c r="H9" s="706"/>
      <c r="I9" s="706"/>
      <c r="J9" s="706"/>
      <c r="K9" s="706"/>
      <c r="L9" s="706"/>
      <c r="M9" s="706"/>
      <c r="N9" s="706"/>
      <c r="O9" s="706"/>
      <c r="P9" s="706"/>
      <c r="Q9" s="706"/>
      <c r="R9" s="706"/>
      <c r="S9" s="706"/>
      <c r="T9" s="706"/>
      <c r="U9" s="706"/>
      <c r="V9" s="706"/>
      <c r="W9" s="706"/>
      <c r="X9" s="706"/>
      <c r="Y9" s="540" t="s">
        <v>292</v>
      </c>
    </row>
    <row r="10" spans="1:29" ht="22.5" customHeight="1" x14ac:dyDescent="0.2">
      <c r="A10" s="706" t="s">
        <v>516</v>
      </c>
      <c r="B10" s="706"/>
      <c r="C10" s="706"/>
      <c r="D10" s="706"/>
      <c r="E10" s="706"/>
      <c r="F10" s="706"/>
      <c r="G10" s="706"/>
      <c r="H10" s="706"/>
      <c r="I10" s="706"/>
      <c r="J10" s="706"/>
      <c r="K10" s="706"/>
      <c r="L10" s="706"/>
      <c r="M10" s="706"/>
      <c r="N10" s="706"/>
      <c r="O10" s="706"/>
      <c r="P10" s="706"/>
      <c r="Q10" s="706"/>
      <c r="R10" s="706"/>
      <c r="S10" s="706"/>
      <c r="T10" s="706"/>
      <c r="U10" s="706"/>
      <c r="V10" s="706"/>
      <c r="W10" s="706"/>
      <c r="X10" s="706"/>
      <c r="Y10" s="540" t="s">
        <v>292</v>
      </c>
    </row>
    <row r="11" spans="1:29" ht="23.25" customHeight="1" x14ac:dyDescent="0.2">
      <c r="A11" s="722" t="s">
        <v>517</v>
      </c>
      <c r="B11" s="706"/>
      <c r="C11" s="706"/>
      <c r="D11" s="706"/>
      <c r="E11" s="706"/>
      <c r="F11" s="706"/>
      <c r="G11" s="706"/>
      <c r="H11" s="706"/>
      <c r="I11" s="706"/>
      <c r="J11" s="706"/>
      <c r="K11" s="706"/>
      <c r="L11" s="706"/>
      <c r="M11" s="706"/>
      <c r="N11" s="706"/>
      <c r="O11" s="706"/>
      <c r="P11" s="706"/>
      <c r="Q11" s="706"/>
      <c r="R11" s="706"/>
      <c r="S11" s="706"/>
      <c r="T11" s="706"/>
      <c r="U11" s="706"/>
      <c r="V11" s="706"/>
      <c r="W11" s="706"/>
      <c r="X11" s="706"/>
      <c r="Y11" s="540" t="s">
        <v>292</v>
      </c>
    </row>
    <row r="12" spans="1:29" ht="24" customHeight="1" x14ac:dyDescent="0.2">
      <c r="A12" s="706" t="s">
        <v>518</v>
      </c>
      <c r="B12" s="708"/>
      <c r="C12" s="708"/>
      <c r="D12" s="708"/>
      <c r="E12" s="708"/>
      <c r="F12" s="708"/>
      <c r="G12" s="708"/>
      <c r="H12" s="708"/>
      <c r="I12" s="708"/>
      <c r="J12" s="708"/>
      <c r="K12" s="708"/>
      <c r="L12" s="708"/>
      <c r="M12" s="708"/>
      <c r="N12" s="708"/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540" t="s">
        <v>292</v>
      </c>
    </row>
    <row r="13" spans="1:29" ht="23.25" customHeight="1" x14ac:dyDescent="0.2">
      <c r="A13" s="722" t="s">
        <v>519</v>
      </c>
      <c r="B13" s="706"/>
      <c r="C13" s="706"/>
      <c r="D13" s="706"/>
      <c r="E13" s="706"/>
      <c r="F13" s="706"/>
      <c r="G13" s="706"/>
      <c r="H13" s="706"/>
      <c r="I13" s="706"/>
      <c r="J13" s="706"/>
      <c r="K13" s="706"/>
      <c r="L13" s="706"/>
      <c r="M13" s="706"/>
      <c r="N13" s="706"/>
      <c r="O13" s="706"/>
      <c r="P13" s="706"/>
      <c r="Q13" s="706"/>
      <c r="R13" s="706"/>
      <c r="S13" s="706"/>
      <c r="T13" s="706"/>
      <c r="U13" s="706"/>
      <c r="V13" s="706"/>
      <c r="W13" s="706"/>
      <c r="X13" s="706"/>
      <c r="Y13" s="540" t="s">
        <v>292</v>
      </c>
    </row>
    <row r="14" spans="1:29" ht="21" customHeight="1" x14ac:dyDescent="0.2">
      <c r="A14" s="706" t="s">
        <v>520</v>
      </c>
      <c r="B14" s="708"/>
      <c r="C14" s="708"/>
      <c r="D14" s="708"/>
      <c r="E14" s="708"/>
      <c r="F14" s="708"/>
      <c r="G14" s="708"/>
      <c r="H14" s="708"/>
      <c r="I14" s="708"/>
      <c r="J14" s="708"/>
      <c r="K14" s="708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540" t="s">
        <v>292</v>
      </c>
      <c r="Z14" s="7"/>
    </row>
    <row r="15" spans="1:29" ht="21" customHeight="1" x14ac:dyDescent="0.2">
      <c r="A15" s="706" t="s">
        <v>521</v>
      </c>
      <c r="B15" s="708"/>
      <c r="C15" s="708"/>
      <c r="D15" s="708"/>
      <c r="E15" s="708"/>
      <c r="F15" s="708"/>
      <c r="G15" s="708"/>
      <c r="H15" s="708"/>
      <c r="I15" s="708"/>
      <c r="J15" s="708"/>
      <c r="K15" s="708"/>
      <c r="L15" s="708"/>
      <c r="M15" s="708"/>
      <c r="N15" s="708"/>
      <c r="O15" s="708"/>
      <c r="P15" s="708"/>
      <c r="Q15" s="708"/>
      <c r="R15" s="708"/>
      <c r="S15" s="708"/>
      <c r="T15" s="708"/>
      <c r="U15" s="708"/>
      <c r="V15" s="708"/>
      <c r="W15" s="708"/>
      <c r="X15" s="708"/>
      <c r="Y15" s="540" t="s">
        <v>292</v>
      </c>
      <c r="Z15" s="7"/>
    </row>
    <row r="16" spans="1:29" ht="18" customHeight="1" x14ac:dyDescent="0.2">
      <c r="A16" s="706" t="s">
        <v>522</v>
      </c>
      <c r="B16" s="708"/>
      <c r="C16" s="708"/>
      <c r="D16" s="708"/>
      <c r="E16" s="708"/>
      <c r="F16" s="708"/>
      <c r="G16" s="708"/>
      <c r="H16" s="708"/>
      <c r="I16" s="708"/>
      <c r="J16" s="708"/>
      <c r="K16" s="70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540" t="s">
        <v>292</v>
      </c>
      <c r="Z16" s="7"/>
    </row>
    <row r="17" spans="1:25" ht="18" customHeight="1" x14ac:dyDescent="0.2">
      <c r="A17" s="600"/>
      <c r="B17" s="599"/>
      <c r="C17" s="599"/>
      <c r="D17" s="599"/>
      <c r="E17" s="599"/>
      <c r="F17" s="599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  <c r="U17" s="599"/>
      <c r="V17" s="599"/>
      <c r="W17" s="599"/>
      <c r="X17" s="599"/>
      <c r="Y17" s="601"/>
    </row>
    <row r="18" spans="1:25" ht="15" x14ac:dyDescent="0.2">
      <c r="A18" s="322"/>
      <c r="B18" s="323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73"/>
    </row>
    <row r="19" spans="1:25" ht="15" x14ac:dyDescent="0.2">
      <c r="A19" s="344" t="s">
        <v>303</v>
      </c>
      <c r="B19" s="323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73"/>
    </row>
    <row r="20" spans="1:25" ht="15" x14ac:dyDescent="0.2">
      <c r="A20" s="322"/>
      <c r="B20" s="343" t="s">
        <v>298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73"/>
    </row>
    <row r="21" spans="1:25" ht="15" x14ac:dyDescent="0.2">
      <c r="A21" s="322"/>
      <c r="B21" s="343" t="s">
        <v>299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73"/>
    </row>
    <row r="22" spans="1:25" ht="15" x14ac:dyDescent="0.2">
      <c r="A22" s="322"/>
      <c r="B22" s="343" t="s">
        <v>302</v>
      </c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73"/>
    </row>
    <row r="23" spans="1:25" ht="15" x14ac:dyDescent="0.2">
      <c r="A23" s="322"/>
      <c r="B23" s="343" t="s">
        <v>300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73"/>
    </row>
    <row r="24" spans="1:25" ht="15" x14ac:dyDescent="0.2">
      <c r="A24" s="344" t="s">
        <v>304</v>
      </c>
      <c r="B24" s="343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73"/>
    </row>
    <row r="25" spans="1:25" x14ac:dyDescent="0.2">
      <c r="A25" s="352"/>
      <c r="B25" s="352" t="s">
        <v>305</v>
      </c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</row>
    <row r="26" spans="1:25" x14ac:dyDescent="0.2">
      <c r="A26" s="352"/>
      <c r="B26" s="352" t="s">
        <v>306</v>
      </c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</row>
    <row r="27" spans="1:25" x14ac:dyDescent="0.2">
      <c r="A27" s="352"/>
      <c r="B27" s="352" t="s">
        <v>307</v>
      </c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</row>
    <row r="28" spans="1:25" x14ac:dyDescent="0.2">
      <c r="A28" s="352"/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</row>
    <row r="29" spans="1:25" x14ac:dyDescent="0.2">
      <c r="A29" s="352"/>
      <c r="B29" s="352" t="s">
        <v>308</v>
      </c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</row>
    <row r="30" spans="1:25" x14ac:dyDescent="0.2">
      <c r="A30" s="352"/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</row>
    <row r="31" spans="1:25" x14ac:dyDescent="0.2">
      <c r="A31" s="352"/>
      <c r="B31" s="352" t="s">
        <v>311</v>
      </c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</row>
    <row r="32" spans="1:25" x14ac:dyDescent="0.2">
      <c r="A32" s="352"/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</row>
    <row r="33" spans="1:24" x14ac:dyDescent="0.2">
      <c r="A33" s="352"/>
      <c r="B33" s="352" t="s">
        <v>309</v>
      </c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</row>
    <row r="34" spans="1:24" x14ac:dyDescent="0.2">
      <c r="A34" s="352"/>
      <c r="B34" s="352" t="s">
        <v>310</v>
      </c>
      <c r="C34" s="35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2"/>
    </row>
    <row r="35" spans="1:24" x14ac:dyDescent="0.2">
      <c r="A35" s="352"/>
      <c r="B35" s="352" t="s">
        <v>312</v>
      </c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</row>
    <row r="36" spans="1:24" x14ac:dyDescent="0.2">
      <c r="A36" s="352"/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</row>
    <row r="37" spans="1:24" ht="15" x14ac:dyDescent="0.2">
      <c r="A37" s="345"/>
      <c r="B37" s="346"/>
      <c r="C37" s="347"/>
      <c r="D37" s="348"/>
      <c r="E37" s="324"/>
      <c r="F37" s="324"/>
    </row>
    <row r="38" spans="1:24" ht="15" x14ac:dyDescent="0.2">
      <c r="A38" s="349" t="s">
        <v>291</v>
      </c>
      <c r="B38" s="346"/>
      <c r="C38" s="718" t="s">
        <v>323</v>
      </c>
      <c r="D38" s="719"/>
      <c r="E38" s="324"/>
      <c r="F38" s="324"/>
    </row>
    <row r="39" spans="1:24" x14ac:dyDescent="0.2">
      <c r="A39" s="350"/>
      <c r="B39" s="351"/>
      <c r="C39" s="720"/>
      <c r="D39" s="721"/>
      <c r="E39" s="73"/>
      <c r="F39" s="73"/>
    </row>
    <row r="40" spans="1:24" x14ac:dyDescent="0.2">
      <c r="A40" s="350"/>
      <c r="B40" s="350"/>
      <c r="C40" s="350"/>
      <c r="D40" s="350"/>
      <c r="E40" s="73"/>
      <c r="F40" s="73"/>
    </row>
    <row r="41" spans="1:24" x14ac:dyDescent="0.2">
      <c r="A41" s="352"/>
      <c r="B41" s="352"/>
      <c r="C41" s="352"/>
      <c r="D41" s="352"/>
    </row>
  </sheetData>
  <sheetProtection algorithmName="SHA-512" hashValue="KdMKLqVTllZHovVvLdlD3qim7ridg1jIauRVfY5Ti2txZwtiw5lXrgwdQfPwngrYibkQyiEcyMiS+PE7IfHEHw==" saltValue="2YFbR5Rtl+1uvQXLAUusPA==" spinCount="100000" sheet="1" objects="1" scenarios="1" formatCells="0" formatColumns="0" formatRows="0" insertColumns="0" insertRows="0" insertHyperlinks="0" deleteColumns="0" deleteRows="0" sort="0" autoFilter="0" pivotTables="0"/>
  <mergeCells count="15">
    <mergeCell ref="A6:X6"/>
    <mergeCell ref="A4:X4"/>
    <mergeCell ref="A16:X16"/>
    <mergeCell ref="A1:Y3"/>
    <mergeCell ref="C38:D39"/>
    <mergeCell ref="A13:X13"/>
    <mergeCell ref="A10:X10"/>
    <mergeCell ref="A12:X12"/>
    <mergeCell ref="A14:X14"/>
    <mergeCell ref="A15:X15"/>
    <mergeCell ref="A11:X11"/>
    <mergeCell ref="A8:X8"/>
    <mergeCell ref="A9:X9"/>
    <mergeCell ref="A7:X7"/>
    <mergeCell ref="A5:X5"/>
  </mergeCells>
  <hyperlinks>
    <hyperlink ref="A13:X13" location="'TANDEMBOX боковые вставки'!A1" display="   10)   TANDEMBOX Intivo, Antaro, Plus - расчёт боковых вставок" xr:uid="{00000000-0004-0000-0000-000001000000}"/>
    <hyperlink ref="A11:X11" location="'TIP-ON BUMOTION MOVENTO'!A1" display="     8)   TIP-ON BUMOTION для MOVENTO" xr:uid="{00000000-0004-0000-0000-000002000000}"/>
    <hyperlink ref="A10:X10" location="'TIP-ON BLUMOTION LEGRABOX'!A1" display="     7)   TIP-ON BLUMOTION для LEGRABOX" xr:uid="{00000000-0004-0000-0000-000003000000}"/>
    <hyperlink ref="A8:X8" location="'HK-S'!A1" display="     5)   AVENTOS HK-S" xr:uid="{00000000-0004-0000-0000-000004000000}"/>
    <hyperlink ref="Y8" r:id="rId1" xr:uid="{00000000-0004-0000-0000-00000C000000}"/>
    <hyperlink ref="Y9" r:id="rId2" xr:uid="{00000000-0004-0000-0000-00000D000000}"/>
    <hyperlink ref="Y10" r:id="rId3" location="zoom=z" xr:uid="{00000000-0004-0000-0000-00000E000000}"/>
    <hyperlink ref="Y11" r:id="rId4" location="zoom=z" xr:uid="{00000000-0004-0000-0000-00000F000000}"/>
    <hyperlink ref="Y13" r:id="rId5" location="zoom=z" xr:uid="{00000000-0004-0000-0000-000010000000}"/>
    <hyperlink ref="A9:X9" location="'HK-XS'!A1" display="     6)   AVENTOS HK-XS" xr:uid="{00000000-0004-0000-0000-000012000000}"/>
    <hyperlink ref="A12:X12" location="'TIP-ON BLUMOTION TANDEMBOX'!A1" display="     9)   TIP-ON BLUMOTION для TANDEMBOX" xr:uid="{00000000-0004-0000-0000-000013000000}"/>
    <hyperlink ref="Y12" r:id="rId6" location="zoom=z" xr:uid="{00000000-0004-0000-0000-000014000000}"/>
    <hyperlink ref="C38" r:id="rId7" display="написать" xr:uid="{00000000-0004-0000-0000-000015000000}"/>
    <hyperlink ref="C38:D39" r:id="rId8" display="написать письмо" xr:uid="{00000000-0004-0000-0000-000016000000}"/>
    <hyperlink ref="A14:X14" location="'Раскрой дна и з.с для TANDEMBOX'!A1" display="   11)   Расчёт размеров дна и задней стенки TANDEMBOX" xr:uid="{00000000-0004-0000-0000-000017000000}"/>
    <hyperlink ref="A15:X15" location="'Раскрой дна и з.с. для LEGRABOX'!A1" display="   12)   Расчёт размеров дна и задней стенки LEGRABOX" xr:uid="{00000000-0004-0000-0000-000018000000}"/>
    <hyperlink ref="Y15" r:id="rId9" location="zoom=z" xr:uid="{00000000-0004-0000-0000-000019000000}"/>
    <hyperlink ref="A7:X7" location="'HK top'!A1" display="     4)   AVENTOS HK top" xr:uid="{00000000-0004-0000-0000-00001B000000}"/>
    <hyperlink ref="Y7" location="'Схема AVENTOS HK top'!A1" display="дополнительная информация об изделии в интернете" xr:uid="{00000000-0004-0000-0000-00001C000000}"/>
    <hyperlink ref="Y14" r:id="rId10" location="zoom=z" xr:uid="{00000000-0004-0000-0000-00001D000000}"/>
    <hyperlink ref="A16:X16" location="'Раскрой валов синхронизации'!A1" display="   13)   Раскрой валов синхронизации TIP-ON BLUMOTION и TIP-ON" xr:uid="{00000000-0004-0000-0000-00001E000000}"/>
    <hyperlink ref="Y16" r:id="rId11" location="zoom=z" xr:uid="{00000000-0004-0000-0000-00001F000000}"/>
    <hyperlink ref="A4:X4" location="'HF top'!A1" display="     1)   AVENTOS HF top" xr:uid="{00000000-0004-0000-0000-000020000000}"/>
    <hyperlink ref="A5:X5" location="'HS top'!A1" display="     2)   AVENTOS HS top" xr:uid="{00000000-0004-0000-0000-000021000000}"/>
    <hyperlink ref="A6:X6" location="'HL top'!A1" display="     3)   AVENTOS HL top" xr:uid="{00000000-0004-0000-0000-000022000000}"/>
    <hyperlink ref="Y4" r:id="rId12" xr:uid="{FD0A67D4-1D84-40A0-A786-AEEB4EEE321D}"/>
    <hyperlink ref="Y5" r:id="rId13" xr:uid="{A4DB0C64-C7E0-403B-A465-B3312057F5CF}"/>
    <hyperlink ref="Y6" r:id="rId14" xr:uid="{7E952C9B-AF2B-4D7F-A676-A6F9F93A0F39}"/>
  </hyperlinks>
  <pageMargins left="0.70866141732283472" right="0.70866141732283472" top="0.74803149606299213" bottom="0.74803149606299213" header="0.31496062992125984" footer="0.31496062992125984"/>
  <pageSetup paperSize="9" scale="39"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9">
    <tabColor theme="0" tint="-0.14999847407452621"/>
  </sheetPr>
  <dimension ref="A1:BE46"/>
  <sheetViews>
    <sheetView showGridLines="0" zoomScale="89" zoomScaleNormal="89" workbookViewId="0">
      <selection activeCell="BK19" sqref="BK19"/>
    </sheetView>
  </sheetViews>
  <sheetFormatPr defaultColWidth="9.140625" defaultRowHeight="15" x14ac:dyDescent="0.25"/>
  <cols>
    <col min="1" max="1" width="3.28515625" style="163" customWidth="1"/>
    <col min="2" max="2" width="34.42578125" style="163" customWidth="1"/>
    <col min="3" max="4" width="10.7109375" style="163" customWidth="1"/>
    <col min="5" max="5" width="11.140625" style="163" customWidth="1"/>
    <col min="6" max="7" width="2" style="163" customWidth="1"/>
    <col min="8" max="8" width="22.7109375" style="163" customWidth="1"/>
    <col min="9" max="10" width="2" style="163" customWidth="1"/>
    <col min="11" max="11" width="5.28515625" style="163" customWidth="1"/>
    <col min="12" max="12" width="5.140625" style="163" customWidth="1"/>
    <col min="13" max="30" width="2" style="163" customWidth="1"/>
    <col min="31" max="31" width="3.140625" style="163" customWidth="1"/>
    <col min="32" max="34" width="2" style="163" customWidth="1"/>
    <col min="35" max="35" width="2.42578125" style="163" customWidth="1"/>
    <col min="36" max="36" width="2" style="163" customWidth="1"/>
    <col min="37" max="37" width="3.7109375" style="163" customWidth="1"/>
    <col min="38" max="38" width="20.85546875" style="163" customWidth="1"/>
    <col min="39" max="39" width="18.42578125" style="163" customWidth="1"/>
    <col min="40" max="40" width="9.140625" style="163" hidden="1" customWidth="1"/>
    <col min="41" max="41" width="21.140625" style="163" hidden="1" customWidth="1"/>
    <col min="42" max="42" width="9.140625" style="163" hidden="1" customWidth="1"/>
    <col min="43" max="43" width="19.42578125" style="163" hidden="1" customWidth="1"/>
    <col min="44" max="44" width="10.42578125" style="163" hidden="1" customWidth="1"/>
    <col min="45" max="45" width="20.28515625" style="163" hidden="1" customWidth="1"/>
    <col min="46" max="46" width="24" style="163" hidden="1" customWidth="1"/>
    <col min="47" max="47" width="11.42578125" style="163" hidden="1" customWidth="1"/>
    <col min="48" max="48" width="11.28515625" style="163" hidden="1" customWidth="1"/>
    <col min="49" max="49" width="10.28515625" style="163" hidden="1" customWidth="1"/>
    <col min="50" max="50" width="9" style="163" hidden="1" customWidth="1"/>
    <col min="51" max="52" width="9.140625" style="163" hidden="1" customWidth="1"/>
    <col min="53" max="53" width="12.42578125" style="163" hidden="1" customWidth="1"/>
    <col min="54" max="55" width="14.85546875" style="163" hidden="1" customWidth="1"/>
    <col min="56" max="57" width="9.140625" style="163" hidden="1" customWidth="1"/>
    <col min="58" max="16384" width="9.140625" style="163"/>
  </cols>
  <sheetData>
    <row r="1" spans="1:57" ht="52.5" customHeight="1" thickBot="1" x14ac:dyDescent="0.3">
      <c r="A1" s="1196" t="s">
        <v>296</v>
      </c>
      <c r="B1" s="1197"/>
      <c r="C1" s="1197"/>
      <c r="D1" s="1197"/>
      <c r="E1" s="1197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  <c r="U1" s="1198"/>
      <c r="V1" s="1198"/>
      <c r="W1" s="1198"/>
      <c r="X1" s="1198"/>
      <c r="Y1" s="1198"/>
      <c r="Z1" s="1198"/>
      <c r="AA1" s="1198"/>
      <c r="AB1" s="1198"/>
      <c r="AC1" s="1198"/>
      <c r="AD1" s="1198"/>
      <c r="AE1" s="1198"/>
      <c r="AF1" s="1198"/>
      <c r="AG1" s="1198"/>
      <c r="AH1" s="1198"/>
      <c r="AI1" s="1198"/>
      <c r="AJ1" s="1198"/>
      <c r="AK1" s="1199"/>
      <c r="AL1" s="338" t="s">
        <v>295</v>
      </c>
      <c r="AN1" s="228"/>
      <c r="AO1" s="229" t="s">
        <v>256</v>
      </c>
      <c r="AP1" s="216" t="s">
        <v>255</v>
      </c>
      <c r="AQ1" s="216" t="s">
        <v>197</v>
      </c>
      <c r="AR1" s="216" t="s">
        <v>254</v>
      </c>
      <c r="AS1" s="223" t="s">
        <v>253</v>
      </c>
      <c r="AT1" s="226" t="s">
        <v>252</v>
      </c>
      <c r="AU1" s="1200" t="s">
        <v>251</v>
      </c>
      <c r="AV1" s="1200"/>
      <c r="AW1" s="1200"/>
      <c r="AX1" s="1200"/>
      <c r="AY1" s="1200"/>
      <c r="AZ1" s="228" t="s">
        <v>250</v>
      </c>
      <c r="BA1" s="227" t="s">
        <v>249</v>
      </c>
      <c r="BB1" s="223" t="s">
        <v>248</v>
      </c>
      <c r="BC1" s="223" t="s">
        <v>247</v>
      </c>
      <c r="BD1" s="223" t="s">
        <v>246</v>
      </c>
      <c r="BE1" s="223" t="s">
        <v>222</v>
      </c>
    </row>
    <row r="2" spans="1:57" ht="21.75" customHeight="1" x14ac:dyDescent="0.25">
      <c r="A2" s="219"/>
      <c r="B2" s="218"/>
      <c r="C2" s="218"/>
      <c r="D2" s="218"/>
      <c r="E2" s="218"/>
      <c r="I2" s="1267" t="s">
        <v>301</v>
      </c>
      <c r="J2" s="1268"/>
      <c r="K2" s="1268"/>
      <c r="L2" s="1268"/>
      <c r="AK2" s="217"/>
      <c r="AN2" s="164"/>
      <c r="AO2" s="216"/>
      <c r="AP2" s="216">
        <v>270</v>
      </c>
      <c r="AQ2" s="216" t="s">
        <v>244</v>
      </c>
      <c r="AR2" s="216">
        <v>680</v>
      </c>
      <c r="AS2" s="223" t="s">
        <v>243</v>
      </c>
      <c r="AT2" s="226" t="s">
        <v>242</v>
      </c>
      <c r="AU2" s="223" t="s">
        <v>241</v>
      </c>
      <c r="AV2" s="223" t="s">
        <v>240</v>
      </c>
      <c r="AW2" s="223" t="s">
        <v>239</v>
      </c>
      <c r="AX2" s="223" t="s">
        <v>238</v>
      </c>
      <c r="AY2" s="223" t="s">
        <v>237</v>
      </c>
      <c r="AZ2" s="163">
        <f>IF(AE20&lt;0,0,IF(AE20&lt;2.51,1,IF(AE20&lt;5.01,2,IF(AE20&lt;7.51,3,IF(AE20&lt;10.01,4,IF(AE20&lt;12.51,5,IF(AE20&lt;15.01,6,IF(AE20&lt;17.51,7,IF(AE20&lt;20.01,8,IF(AE20&lt;22.51,9,IF(AE20&lt;25.01,10,IF(AE20&lt;27.51,11,IF(AE20&lt;30.01,12,IF(AE20&lt;32.51,13,IF(AE20&lt;35.01,14,IF(AE20&lt;37.51,15,IF(AE20&lt;40.01,16,IF(AE20&lt;42.51,17,IF(AE20&lt;45.01,18,IF(AE20&lt;47.51,19,IF(AE20&lt;50.01,20,IF(AE20&lt;52.51,21,IF(AE20&lt;55.01,22,IF(AE20&lt;57.51,23,IF(AE20&lt;60,24,25)))))))))))))))))))))))))</f>
        <v>12</v>
      </c>
      <c r="BA2" s="223" t="s">
        <v>236</v>
      </c>
      <c r="BB2" s="223">
        <v>1.57</v>
      </c>
      <c r="BC2" s="223">
        <v>1.84</v>
      </c>
      <c r="BD2" s="223">
        <f>63*(C19-38)/1000000</f>
        <v>4.1958000000000002E-2</v>
      </c>
      <c r="BE2" s="223">
        <f>(C18-10)*(C19-35)/1000000</f>
        <v>0.32780999999999999</v>
      </c>
    </row>
    <row r="3" spans="1:57" ht="14.25" customHeight="1" x14ac:dyDescent="0.25">
      <c r="A3" s="219"/>
      <c r="B3" s="218"/>
      <c r="C3" s="218"/>
      <c r="D3" s="218"/>
      <c r="E3" s="218"/>
      <c r="I3" s="1268"/>
      <c r="J3" s="1268"/>
      <c r="K3" s="1268"/>
      <c r="L3" s="1268"/>
      <c r="AK3" s="217"/>
      <c r="AN3" s="164"/>
      <c r="AO3" s="216" t="s">
        <v>235</v>
      </c>
      <c r="AP3" s="216">
        <v>300</v>
      </c>
      <c r="AQ3" s="216" t="s">
        <v>234</v>
      </c>
      <c r="AR3" s="216">
        <v>550</v>
      </c>
      <c r="AS3" s="223" t="s">
        <v>233</v>
      </c>
      <c r="AT3" s="226" t="s">
        <v>232</v>
      </c>
      <c r="AU3" s="223" t="s">
        <v>231</v>
      </c>
      <c r="AV3" s="223">
        <v>1</v>
      </c>
      <c r="AW3" s="223">
        <f>IF(C18=AP6,BB9,BC9)</f>
        <v>1.84</v>
      </c>
      <c r="AX3" s="223">
        <v>1</v>
      </c>
      <c r="AY3" s="223">
        <f>AV3*AW3*AX3</f>
        <v>1.84</v>
      </c>
      <c r="BA3" s="223" t="s">
        <v>230</v>
      </c>
      <c r="BB3" s="223">
        <v>1.417</v>
      </c>
      <c r="BC3" s="223">
        <v>1.53</v>
      </c>
      <c r="BD3" s="223">
        <f>39*(C19-38)/1000000</f>
        <v>2.5974000000000001E-2</v>
      </c>
      <c r="BE3" s="223">
        <f>(C18-10)*(C19-35)/1000000</f>
        <v>0.32780999999999999</v>
      </c>
    </row>
    <row r="4" spans="1:57" ht="14.25" customHeight="1" x14ac:dyDescent="0.25">
      <c r="A4" s="219"/>
      <c r="B4" s="218"/>
      <c r="C4" s="218"/>
      <c r="D4" s="218"/>
      <c r="E4" s="218"/>
      <c r="I4" s="1268"/>
      <c r="J4" s="1268"/>
      <c r="K4" s="1268"/>
      <c r="L4" s="1268"/>
      <c r="AK4" s="217"/>
      <c r="AN4" s="164"/>
      <c r="AO4" s="216"/>
      <c r="AP4" s="216">
        <v>350</v>
      </c>
      <c r="AQ4" s="216" t="s">
        <v>228</v>
      </c>
      <c r="AR4" s="216">
        <v>750</v>
      </c>
      <c r="AS4" s="223" t="s">
        <v>227</v>
      </c>
      <c r="AU4" s="223" t="s">
        <v>226</v>
      </c>
      <c r="AV4" s="223">
        <f>BD9</f>
        <v>4.1958000000000002E-2</v>
      </c>
      <c r="AW4" s="223">
        <f>AR2</f>
        <v>680</v>
      </c>
      <c r="AX4" s="223">
        <v>16</v>
      </c>
      <c r="AY4" s="223">
        <f>AV4*AW4*AX4/1000</f>
        <v>0.45650303999999997</v>
      </c>
      <c r="BA4" s="223" t="s">
        <v>225</v>
      </c>
      <c r="BB4" s="223">
        <v>2.17</v>
      </c>
      <c r="BC4" s="223">
        <v>2.3359999999999999</v>
      </c>
      <c r="BD4" s="223">
        <f>101*(C19-38)/1000000</f>
        <v>6.7266000000000006E-2</v>
      </c>
      <c r="BE4" s="223">
        <f>(C18-10)*(C19-35)/1000000</f>
        <v>0.32780999999999999</v>
      </c>
    </row>
    <row r="5" spans="1:57" ht="14.25" customHeight="1" x14ac:dyDescent="0.25">
      <c r="A5" s="219"/>
      <c r="B5" s="218"/>
      <c r="C5" s="218"/>
      <c r="D5" s="218"/>
      <c r="E5" s="218"/>
      <c r="I5" s="1268"/>
      <c r="J5" s="1268"/>
      <c r="K5" s="1268"/>
      <c r="L5" s="1268"/>
      <c r="AK5" s="217"/>
      <c r="AN5" s="164"/>
      <c r="AO5" s="216"/>
      <c r="AP5" s="216">
        <v>400</v>
      </c>
      <c r="AQ5" s="216" t="s">
        <v>223</v>
      </c>
      <c r="AR5" s="216">
        <v>690</v>
      </c>
      <c r="AS5" s="223" t="s">
        <v>194</v>
      </c>
      <c r="AU5" s="223" t="s">
        <v>222</v>
      </c>
      <c r="AV5" s="223">
        <f>BE9</f>
        <v>0.32780999999999999</v>
      </c>
      <c r="AW5" s="223">
        <f>AR2</f>
        <v>680</v>
      </c>
      <c r="AX5" s="223">
        <v>16</v>
      </c>
      <c r="AY5" s="223">
        <f>AV5*AW5*AX5/1000</f>
        <v>3.5665727999999999</v>
      </c>
      <c r="BA5" s="223" t="s">
        <v>221</v>
      </c>
      <c r="BB5" s="223">
        <v>2.6259999999999999</v>
      </c>
      <c r="BC5" s="223">
        <v>2.871</v>
      </c>
      <c r="BD5" s="223">
        <f>148*(C19-38)/1000000</f>
        <v>9.8568000000000003E-2</v>
      </c>
      <c r="BE5" s="223">
        <f>(C18-10)*(C19-35)/1000000</f>
        <v>0.32780999999999999</v>
      </c>
    </row>
    <row r="6" spans="1:57" ht="14.25" customHeight="1" x14ac:dyDescent="0.25">
      <c r="A6" s="219"/>
      <c r="B6" s="218"/>
      <c r="C6" s="218"/>
      <c r="D6" s="218"/>
      <c r="E6" s="218"/>
      <c r="H6" s="220"/>
      <c r="I6" s="1268"/>
      <c r="J6" s="1268"/>
      <c r="K6" s="1268"/>
      <c r="L6" s="1268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1"/>
      <c r="AL6" s="220"/>
      <c r="AN6" s="164"/>
      <c r="AO6" s="216"/>
      <c r="AP6" s="216">
        <v>450</v>
      </c>
      <c r="AQ6" s="216" t="s">
        <v>195</v>
      </c>
      <c r="AR6" s="216">
        <v>760</v>
      </c>
      <c r="AS6" s="223" t="s">
        <v>219</v>
      </c>
      <c r="AU6" s="223" t="s">
        <v>218</v>
      </c>
      <c r="AV6" s="223">
        <f>C23*C24/1000000</f>
        <v>0.17100000000000001</v>
      </c>
      <c r="AW6" s="223">
        <f>IF(C22=AQ2,AR2,IF(C22=AQ3,AR3,IF(C22=AQ4,AR4,IF(C22=AQ5,AR5,IF(C22=AQ6,AR6,IF(C22=AQ7,AR7,0))))))</f>
        <v>760</v>
      </c>
      <c r="AX6" s="223">
        <f>IF(D22=AS2,10,IF(D22=AS3,16,IF(D22=AS4,18,IF(D22=AS5,19,IF(D22=AS6,4,0)))))</f>
        <v>19</v>
      </c>
      <c r="AY6" s="223">
        <f>AV6*AW6*AX6/1000</f>
        <v>2.4692400000000001</v>
      </c>
      <c r="BA6" s="223" t="s">
        <v>217</v>
      </c>
      <c r="BB6" s="223">
        <v>3.411</v>
      </c>
      <c r="BC6" s="223">
        <v>3.673</v>
      </c>
      <c r="BD6" s="223">
        <f>212*(C19-38)/1000000</f>
        <v>0.14119200000000001</v>
      </c>
      <c r="BE6" s="223">
        <f>(C18-10)*(C19-35)/1000000</f>
        <v>0.32780999999999999</v>
      </c>
    </row>
    <row r="7" spans="1:57" ht="14.25" customHeight="1" x14ac:dyDescent="0.25">
      <c r="A7" s="219"/>
      <c r="B7" s="218"/>
      <c r="C7" s="218"/>
      <c r="D7" s="218"/>
      <c r="E7" s="218"/>
      <c r="H7" s="220"/>
      <c r="I7" s="1268"/>
      <c r="J7" s="1268"/>
      <c r="K7" s="1268"/>
      <c r="L7" s="1268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5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1"/>
      <c r="AL7" s="220"/>
      <c r="AO7" s="216"/>
      <c r="AP7" s="216">
        <v>500</v>
      </c>
      <c r="AQ7" s="216" t="s">
        <v>215</v>
      </c>
      <c r="AR7" s="216">
        <v>900</v>
      </c>
      <c r="AS7" s="223"/>
      <c r="AY7" s="222">
        <f>SUM(AY3:AY6)</f>
        <v>8.3323158399999997</v>
      </c>
      <c r="BA7" s="223" t="s">
        <v>214</v>
      </c>
      <c r="BB7" s="223">
        <f>2.027+(0.796/1043*(C19-126))</f>
        <v>2.4681198465963567</v>
      </c>
      <c r="BC7" s="223">
        <f>2.167+(0.796/1043*(C19-126))</f>
        <v>2.6081198465963564</v>
      </c>
      <c r="BD7" s="223">
        <f>63*(C19-38)/1000000</f>
        <v>4.1958000000000002E-2</v>
      </c>
      <c r="BE7" s="223">
        <f>(C18-10)*(C19-35)/1000000</f>
        <v>0.32780999999999999</v>
      </c>
    </row>
    <row r="8" spans="1:57" ht="14.25" customHeight="1" x14ac:dyDescent="0.25">
      <c r="A8" s="219"/>
      <c r="B8" s="218"/>
      <c r="C8" s="218"/>
      <c r="D8" s="218"/>
      <c r="E8" s="218"/>
      <c r="H8" s="220"/>
      <c r="I8" s="1268"/>
      <c r="J8" s="1268"/>
      <c r="K8" s="1268"/>
      <c r="L8" s="1268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1"/>
      <c r="AL8" s="220"/>
      <c r="AO8" s="216"/>
      <c r="AP8" s="216">
        <v>550</v>
      </c>
      <c r="AQ8" s="164"/>
      <c r="AR8" s="164"/>
      <c r="AY8" s="224"/>
      <c r="BA8" s="223" t="s">
        <v>212</v>
      </c>
      <c r="BB8" s="223">
        <f>3.102+(0.796/1043*(C19-126))+(0.344/1080*(C19-90))</f>
        <v>3.7386902169667269</v>
      </c>
      <c r="BC8" s="223">
        <f>3.347+(0.796/1043*(C19-126))+(0.344/1080*(C19-90))</f>
        <v>3.983690216966727</v>
      </c>
      <c r="BD8" s="223">
        <f>148*(C19-38)/1000000</f>
        <v>9.8568000000000003E-2</v>
      </c>
      <c r="BE8" s="223">
        <f>(C18-10)*(C19-35)/1000000</f>
        <v>0.32780999999999999</v>
      </c>
    </row>
    <row r="9" spans="1:57" ht="14.25" customHeight="1" x14ac:dyDescent="0.25">
      <c r="A9" s="219"/>
      <c r="B9" s="218"/>
      <c r="C9" s="218"/>
      <c r="D9" s="218"/>
      <c r="E9" s="218"/>
      <c r="H9" s="220"/>
      <c r="I9" s="1268"/>
      <c r="J9" s="1268"/>
      <c r="K9" s="1268"/>
      <c r="L9" s="1268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1"/>
      <c r="AL9" s="220"/>
      <c r="AP9" s="216">
        <v>600</v>
      </c>
      <c r="AQ9" s="164"/>
      <c r="AR9" s="164"/>
      <c r="BA9" s="223" t="s">
        <v>211</v>
      </c>
      <c r="BB9" s="222">
        <f>IF(C17=AO2,BB3,IF(C17=AO3,BB2,IF(C17=AO4,BB4,IF(C17=AO5,BB5,IF(C17=AO6,BB6,IF(C17=AO7,BB7,IF(C17=AO8,BB8,0)))))))</f>
        <v>1.57</v>
      </c>
      <c r="BC9" s="222">
        <f>IF(C17=AO2,BC3,IF(C17=AO3,BC2,IF(C17=AO4,BC4,IF(C17=AO5,BC5,IF(C17=AO6,BC6,IF(C17=AO7,BC7,IF(C17=AO8,BC8,0)))))))</f>
        <v>1.84</v>
      </c>
      <c r="BD9" s="222">
        <f>IF(C17=AO2,BD3,IF(C17=AO3,BD2,IF(C17=AO4,BD4,IF(C17=AO5,BD5,IF(C17=AO6,BD6,IF(C17=AO7,BD7,IF(C17=AO8,BD8,0)))))))</f>
        <v>4.1958000000000002E-2</v>
      </c>
      <c r="BE9" s="222">
        <f>(C18-10)*(C19-35)/1000000</f>
        <v>0.32780999999999999</v>
      </c>
    </row>
    <row r="10" spans="1:57" ht="14.25" customHeight="1" x14ac:dyDescent="0.25">
      <c r="A10" s="219"/>
      <c r="B10" s="218"/>
      <c r="C10" s="218"/>
      <c r="D10" s="218"/>
      <c r="E10" s="218"/>
      <c r="H10" s="220"/>
      <c r="I10" s="1268"/>
      <c r="J10" s="1268"/>
      <c r="K10" s="1268"/>
      <c r="L10" s="1268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1"/>
      <c r="AL10" s="220"/>
      <c r="AP10" s="216">
        <v>650</v>
      </c>
      <c r="AQ10" s="164"/>
      <c r="AR10" s="164"/>
    </row>
    <row r="11" spans="1:57" ht="14.25" customHeight="1" x14ac:dyDescent="0.25">
      <c r="A11" s="219"/>
      <c r="B11" s="218"/>
      <c r="C11" s="218"/>
      <c r="D11" s="218"/>
      <c r="E11" s="218"/>
      <c r="I11" s="1268"/>
      <c r="J11" s="1268"/>
      <c r="K11" s="1268"/>
      <c r="L11" s="1268"/>
      <c r="AK11" s="217"/>
      <c r="AP11" s="216">
        <v>700</v>
      </c>
      <c r="AQ11" s="164"/>
      <c r="AR11" s="164"/>
    </row>
    <row r="12" spans="1:57" ht="12.75" customHeight="1" x14ac:dyDescent="0.25">
      <c r="A12" s="1201" t="s">
        <v>210</v>
      </c>
      <c r="B12" s="1202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3"/>
      <c r="AP12" s="216">
        <v>750</v>
      </c>
      <c r="AQ12" s="164"/>
      <c r="AR12" s="164"/>
    </row>
    <row r="13" spans="1:57" ht="13.5" customHeight="1" x14ac:dyDescent="0.25">
      <c r="A13" s="215" t="s">
        <v>209</v>
      </c>
      <c r="B13" s="212"/>
      <c r="C13" s="212"/>
      <c r="D13" s="212"/>
      <c r="E13" s="212"/>
      <c r="F13" s="214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09"/>
      <c r="AP13" s="164"/>
      <c r="AQ13" s="164"/>
      <c r="AR13" s="164"/>
      <c r="BA13" s="340"/>
    </row>
    <row r="14" spans="1:57" ht="12" customHeight="1" x14ac:dyDescent="0.25">
      <c r="A14" s="213" t="s">
        <v>208</v>
      </c>
      <c r="B14" s="212"/>
      <c r="C14" s="212"/>
      <c r="D14" s="212"/>
      <c r="E14" s="212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09"/>
      <c r="AP14" s="164"/>
      <c r="AQ14" s="164"/>
      <c r="AR14" s="164"/>
      <c r="BA14" s="340"/>
      <c r="BD14" s="341"/>
    </row>
    <row r="15" spans="1:57" ht="15" customHeight="1" x14ac:dyDescent="0.25">
      <c r="A15" s="283"/>
      <c r="B15" s="1156" t="s">
        <v>207</v>
      </c>
      <c r="C15" s="1156"/>
      <c r="D15" s="1156"/>
      <c r="E15" s="201"/>
      <c r="F15" s="201"/>
      <c r="G15" s="201"/>
      <c r="H15" s="201"/>
      <c r="I15" s="201"/>
      <c r="J15" s="201"/>
      <c r="K15" s="201"/>
      <c r="L15" s="208"/>
      <c r="M15" s="1204" t="s">
        <v>206</v>
      </c>
      <c r="N15" s="1204"/>
      <c r="O15" s="1204"/>
      <c r="P15" s="1204"/>
      <c r="Q15" s="1204"/>
      <c r="R15" s="1204"/>
      <c r="S15" s="1204"/>
      <c r="T15" s="1204"/>
      <c r="U15" s="1204"/>
      <c r="V15" s="1204"/>
      <c r="W15" s="1204"/>
      <c r="X15" s="1204"/>
      <c r="Y15" s="1204"/>
      <c r="Z15" s="1204"/>
      <c r="AA15" s="1204"/>
      <c r="AB15" s="1204"/>
      <c r="AC15" s="1204"/>
      <c r="AD15" s="1204"/>
      <c r="AE15" s="1204"/>
      <c r="AF15" s="1204"/>
      <c r="AG15" s="1204"/>
      <c r="AH15" s="1204"/>
      <c r="AI15" s="1204"/>
      <c r="AJ15" s="1204"/>
      <c r="AK15" s="173"/>
      <c r="AP15" s="164"/>
      <c r="AQ15" s="164"/>
      <c r="AR15" s="164"/>
      <c r="BD15" s="341"/>
    </row>
    <row r="16" spans="1:57" ht="18.75" customHeight="1" x14ac:dyDescent="0.25">
      <c r="A16" s="283"/>
      <c r="B16" s="1156"/>
      <c r="C16" s="1156"/>
      <c r="D16" s="1156"/>
      <c r="E16" s="201"/>
      <c r="F16" s="165"/>
      <c r="G16" s="196"/>
      <c r="H16" s="195"/>
      <c r="I16" s="290"/>
      <c r="J16" s="201"/>
      <c r="K16" s="201"/>
      <c r="L16" s="208"/>
      <c r="M16" s="1204"/>
      <c r="N16" s="1204"/>
      <c r="O16" s="1204"/>
      <c r="P16" s="1204"/>
      <c r="Q16" s="1204"/>
      <c r="R16" s="1204"/>
      <c r="S16" s="1204"/>
      <c r="T16" s="1204"/>
      <c r="U16" s="1204"/>
      <c r="V16" s="1204"/>
      <c r="W16" s="1204"/>
      <c r="X16" s="1204"/>
      <c r="Y16" s="1204"/>
      <c r="Z16" s="1204"/>
      <c r="AA16" s="1204"/>
      <c r="AB16" s="1204"/>
      <c r="AC16" s="1204"/>
      <c r="AD16" s="1204"/>
      <c r="AE16" s="1204"/>
      <c r="AF16" s="1204"/>
      <c r="AG16" s="1204"/>
      <c r="AH16" s="1204"/>
      <c r="AI16" s="1204"/>
      <c r="AJ16" s="1204"/>
      <c r="AK16" s="173"/>
      <c r="AP16" s="164"/>
      <c r="AQ16" s="164"/>
      <c r="AR16" s="164"/>
    </row>
    <row r="17" spans="1:50" ht="18.75" customHeight="1" x14ac:dyDescent="0.25">
      <c r="A17" s="283"/>
      <c r="B17" s="194" t="s">
        <v>297</v>
      </c>
      <c r="C17" s="1265" t="s">
        <v>281</v>
      </c>
      <c r="D17" s="1266"/>
      <c r="E17" s="174"/>
      <c r="F17" s="166"/>
      <c r="G17" s="196"/>
      <c r="H17" s="170"/>
      <c r="I17" s="290"/>
      <c r="J17" s="174"/>
      <c r="K17" s="174"/>
      <c r="L17" s="208"/>
      <c r="M17" s="1204"/>
      <c r="N17" s="1204"/>
      <c r="O17" s="1204"/>
      <c r="P17" s="1204"/>
      <c r="Q17" s="1204"/>
      <c r="R17" s="1204"/>
      <c r="S17" s="1204"/>
      <c r="T17" s="1204"/>
      <c r="U17" s="1204"/>
      <c r="V17" s="1204"/>
      <c r="W17" s="1204"/>
      <c r="X17" s="1204"/>
      <c r="Y17" s="1204"/>
      <c r="Z17" s="1204"/>
      <c r="AA17" s="1204"/>
      <c r="AB17" s="1204"/>
      <c r="AC17" s="1204"/>
      <c r="AD17" s="1204"/>
      <c r="AE17" s="1204"/>
      <c r="AF17" s="1204"/>
      <c r="AG17" s="1204"/>
      <c r="AH17" s="1204"/>
      <c r="AI17" s="1204"/>
      <c r="AJ17" s="1204"/>
      <c r="AK17" s="173"/>
      <c r="AP17" s="164"/>
      <c r="AQ17" s="164"/>
      <c r="AR17" s="164"/>
    </row>
    <row r="18" spans="1:50" ht="18.75" customHeight="1" x14ac:dyDescent="0.25">
      <c r="A18" s="283"/>
      <c r="B18" s="207" t="s">
        <v>204</v>
      </c>
      <c r="C18" s="1176">
        <v>500</v>
      </c>
      <c r="D18" s="1176"/>
      <c r="E18" s="289"/>
      <c r="F18" s="206"/>
      <c r="G18" s="196"/>
      <c r="H18" s="170"/>
      <c r="I18" s="290"/>
      <c r="J18" s="174"/>
      <c r="K18" s="174"/>
      <c r="L18" s="201"/>
      <c r="M18" s="1165" t="s">
        <v>203</v>
      </c>
      <c r="N18" s="1166"/>
      <c r="O18" s="1166"/>
      <c r="P18" s="1166"/>
      <c r="Q18" s="1166"/>
      <c r="R18" s="1194"/>
      <c r="S18" s="1165" t="s">
        <v>202</v>
      </c>
      <c r="T18" s="1166"/>
      <c r="U18" s="1166"/>
      <c r="V18" s="1166"/>
      <c r="W18" s="1166"/>
      <c r="X18" s="1166"/>
      <c r="Y18" s="1181" t="s">
        <v>201</v>
      </c>
      <c r="Z18" s="1182"/>
      <c r="AA18" s="1182"/>
      <c r="AB18" s="1182"/>
      <c r="AC18" s="1182"/>
      <c r="AD18" s="1183"/>
      <c r="AE18" s="1187" t="s">
        <v>200</v>
      </c>
      <c r="AF18" s="1187"/>
      <c r="AG18" s="1187"/>
      <c r="AH18" s="1187"/>
      <c r="AI18" s="1187"/>
      <c r="AJ18" s="1187"/>
      <c r="AK18" s="173"/>
      <c r="AP18" s="164"/>
      <c r="AQ18" s="164"/>
      <c r="AR18" s="164"/>
    </row>
    <row r="19" spans="1:50" ht="18.75" customHeight="1" x14ac:dyDescent="0.25">
      <c r="A19" s="283"/>
      <c r="B19" s="205" t="s">
        <v>199</v>
      </c>
      <c r="C19" s="1177">
        <v>704</v>
      </c>
      <c r="D19" s="1177"/>
      <c r="E19" s="174"/>
      <c r="F19" s="166"/>
      <c r="G19" s="196"/>
      <c r="H19" s="170"/>
      <c r="I19" s="290"/>
      <c r="J19" s="174"/>
      <c r="K19" s="174"/>
      <c r="L19" s="201"/>
      <c r="M19" s="1167"/>
      <c r="N19" s="1168"/>
      <c r="O19" s="1168"/>
      <c r="P19" s="1168"/>
      <c r="Q19" s="1168"/>
      <c r="R19" s="1195"/>
      <c r="S19" s="1167"/>
      <c r="T19" s="1168"/>
      <c r="U19" s="1168"/>
      <c r="V19" s="1168"/>
      <c r="W19" s="1168"/>
      <c r="X19" s="1168"/>
      <c r="Y19" s="1184"/>
      <c r="Z19" s="1185"/>
      <c r="AA19" s="1185"/>
      <c r="AB19" s="1185"/>
      <c r="AC19" s="1185"/>
      <c r="AD19" s="1186"/>
      <c r="AE19" s="1187"/>
      <c r="AF19" s="1187"/>
      <c r="AG19" s="1187"/>
      <c r="AH19" s="1187"/>
      <c r="AI19" s="1187"/>
      <c r="AJ19" s="1187"/>
      <c r="AK19" s="173"/>
      <c r="AP19" s="164"/>
      <c r="AQ19" s="164"/>
      <c r="AR19" s="164"/>
    </row>
    <row r="20" spans="1:50" ht="18.75" customHeight="1" x14ac:dyDescent="0.25">
      <c r="A20" s="283"/>
      <c r="B20" s="1162" t="s">
        <v>198</v>
      </c>
      <c r="C20" s="1163"/>
      <c r="D20" s="1164"/>
      <c r="E20" s="174"/>
      <c r="F20" s="166"/>
      <c r="G20" s="196"/>
      <c r="H20" s="170"/>
      <c r="I20" s="290"/>
      <c r="J20" s="174"/>
      <c r="K20" s="174"/>
      <c r="L20" s="201"/>
      <c r="M20" s="1188">
        <f>AY7</f>
        <v>8.3323158399999997</v>
      </c>
      <c r="N20" s="1189"/>
      <c r="O20" s="1189"/>
      <c r="P20" s="1189"/>
      <c r="Q20" s="1189"/>
      <c r="R20" s="1190"/>
      <c r="S20" s="1191">
        <f>C26/1000</f>
        <v>0</v>
      </c>
      <c r="T20" s="1192"/>
      <c r="U20" s="1192"/>
      <c r="V20" s="1192"/>
      <c r="W20" s="1192"/>
      <c r="X20" s="1192"/>
      <c r="Y20" s="1188">
        <f>C27</f>
        <v>20</v>
      </c>
      <c r="Z20" s="1189"/>
      <c r="AA20" s="1189"/>
      <c r="AB20" s="1189"/>
      <c r="AC20" s="1189"/>
      <c r="AD20" s="1190"/>
      <c r="AE20" s="1193">
        <f>M20+S20+Y20</f>
        <v>28.33231584</v>
      </c>
      <c r="AF20" s="1193"/>
      <c r="AG20" s="1193"/>
      <c r="AH20" s="1193"/>
      <c r="AI20" s="1193"/>
      <c r="AJ20" s="1193"/>
      <c r="AK20" s="173"/>
      <c r="AP20" s="164"/>
      <c r="AQ20" s="164"/>
      <c r="AR20" s="164"/>
      <c r="AX20" s="340"/>
    </row>
    <row r="21" spans="1:50" ht="18.75" customHeight="1" x14ac:dyDescent="0.25">
      <c r="A21" s="283"/>
      <c r="B21" s="204"/>
      <c r="C21" s="203" t="s">
        <v>197</v>
      </c>
      <c r="D21" s="202" t="s">
        <v>196</v>
      </c>
      <c r="E21" s="174"/>
      <c r="F21" s="166"/>
      <c r="G21" s="196"/>
      <c r="H21" s="170"/>
      <c r="I21" s="290"/>
      <c r="J21" s="174"/>
      <c r="K21" s="174"/>
      <c r="L21" s="201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199"/>
      <c r="AF21" s="199"/>
      <c r="AG21" s="199"/>
      <c r="AH21" s="199"/>
      <c r="AI21" s="199"/>
      <c r="AJ21" s="199"/>
      <c r="AK21" s="173"/>
      <c r="AP21" s="164"/>
      <c r="AQ21" s="164"/>
      <c r="AR21" s="164"/>
      <c r="AX21" s="340"/>
    </row>
    <row r="22" spans="1:50" ht="18.75" customHeight="1" x14ac:dyDescent="0.25">
      <c r="A22" s="283"/>
      <c r="B22" s="198" t="s">
        <v>125</v>
      </c>
      <c r="C22" s="342" t="s">
        <v>195</v>
      </c>
      <c r="D22" s="342" t="s">
        <v>194</v>
      </c>
      <c r="E22" s="174"/>
      <c r="F22" s="166"/>
      <c r="G22" s="196"/>
      <c r="H22" s="170"/>
      <c r="I22" s="290"/>
      <c r="J22" s="174"/>
      <c r="K22" s="174"/>
      <c r="L22" s="1159"/>
      <c r="M22" s="1159"/>
      <c r="N22" s="1159"/>
      <c r="O22" s="1159"/>
      <c r="P22" s="1159"/>
      <c r="Q22" s="1159"/>
      <c r="R22" s="1159"/>
      <c r="S22" s="1159"/>
      <c r="T22" s="1159"/>
      <c r="U22" s="1159"/>
      <c r="V22" s="1159"/>
      <c r="W22" s="1159"/>
      <c r="X22" s="1159"/>
      <c r="Y22" s="1159"/>
      <c r="Z22" s="1159"/>
      <c r="AA22" s="1159"/>
      <c r="AB22" s="1159"/>
      <c r="AC22" s="1159"/>
      <c r="AD22" s="1159"/>
      <c r="AE22" s="1159"/>
      <c r="AF22" s="1159"/>
      <c r="AG22" s="1159"/>
      <c r="AH22" s="1159"/>
      <c r="AI22" s="1159"/>
      <c r="AJ22" s="1159"/>
      <c r="AK22" s="173"/>
      <c r="AP22" s="164"/>
      <c r="AQ22" s="164"/>
      <c r="AR22" s="164"/>
    </row>
    <row r="23" spans="1:50" ht="18" customHeight="1" x14ac:dyDescent="0.25">
      <c r="A23" s="283"/>
      <c r="B23" s="194" t="s">
        <v>51</v>
      </c>
      <c r="C23" s="1149">
        <v>285</v>
      </c>
      <c r="D23" s="1149"/>
      <c r="E23" s="174"/>
      <c r="F23" s="166"/>
      <c r="G23" s="196"/>
      <c r="H23" s="195"/>
      <c r="I23" s="290"/>
      <c r="J23" s="174"/>
      <c r="K23" s="174"/>
      <c r="L23" s="1159"/>
      <c r="M23" s="1159"/>
      <c r="N23" s="1159"/>
      <c r="O23" s="1159"/>
      <c r="P23" s="1159"/>
      <c r="Q23" s="1159"/>
      <c r="R23" s="1159"/>
      <c r="S23" s="1159"/>
      <c r="T23" s="1159"/>
      <c r="U23" s="1159"/>
      <c r="V23" s="1159"/>
      <c r="W23" s="1159"/>
      <c r="X23" s="1159"/>
      <c r="Y23" s="1159"/>
      <c r="Z23" s="1159"/>
      <c r="AA23" s="1159"/>
      <c r="AB23" s="1159"/>
      <c r="AC23" s="1159"/>
      <c r="AD23" s="1159"/>
      <c r="AE23" s="1159"/>
      <c r="AF23" s="1159"/>
      <c r="AG23" s="1159"/>
      <c r="AH23" s="1159"/>
      <c r="AI23" s="1159"/>
      <c r="AJ23" s="1159"/>
      <c r="AK23" s="173"/>
      <c r="AP23" s="164"/>
      <c r="AQ23" s="164"/>
      <c r="AR23" s="164"/>
    </row>
    <row r="24" spans="1:50" ht="18.75" x14ac:dyDescent="0.25">
      <c r="A24" s="283"/>
      <c r="B24" s="194" t="s">
        <v>193</v>
      </c>
      <c r="C24" s="1149">
        <v>600</v>
      </c>
      <c r="D24" s="1149"/>
      <c r="E24" s="174"/>
      <c r="F24" s="193"/>
      <c r="G24" s="193"/>
      <c r="H24" s="193"/>
      <c r="I24" s="291"/>
      <c r="J24" s="291"/>
      <c r="K24" s="1154" t="s">
        <v>192</v>
      </c>
      <c r="L24" s="1155"/>
      <c r="M24" s="1160" t="s">
        <v>191</v>
      </c>
      <c r="N24" s="1160"/>
      <c r="O24" s="1160"/>
      <c r="P24" s="1160"/>
      <c r="Q24" s="1160" t="s">
        <v>190</v>
      </c>
      <c r="R24" s="1160"/>
      <c r="S24" s="1160"/>
      <c r="T24" s="1160"/>
      <c r="U24" s="1160" t="s">
        <v>189</v>
      </c>
      <c r="V24" s="1160"/>
      <c r="W24" s="1160"/>
      <c r="X24" s="1160"/>
      <c r="Y24" s="1160" t="s">
        <v>188</v>
      </c>
      <c r="Z24" s="1160"/>
      <c r="AA24" s="1160"/>
      <c r="AB24" s="1160"/>
      <c r="AC24" s="1160" t="s">
        <v>187</v>
      </c>
      <c r="AD24" s="1160"/>
      <c r="AE24" s="1160"/>
      <c r="AF24" s="1160"/>
      <c r="AG24" s="1160" t="s">
        <v>186</v>
      </c>
      <c r="AH24" s="1160"/>
      <c r="AI24" s="1160"/>
      <c r="AJ24" s="1160"/>
      <c r="AK24" s="173"/>
      <c r="AP24" s="164"/>
      <c r="AQ24" s="164"/>
      <c r="AR24" s="164"/>
    </row>
    <row r="25" spans="1:50" ht="18.75" customHeight="1" x14ac:dyDescent="0.25">
      <c r="A25" s="283"/>
      <c r="B25" s="1156" t="s">
        <v>185</v>
      </c>
      <c r="C25" s="1156"/>
      <c r="D25" s="1157"/>
      <c r="E25" s="1150"/>
      <c r="F25" s="1150"/>
      <c r="G25" s="1150"/>
      <c r="H25" s="1150"/>
      <c r="I25" s="174"/>
      <c r="J25" s="174"/>
      <c r="K25" s="1152" t="s">
        <v>184</v>
      </c>
      <c r="L25" s="181" t="s">
        <v>183</v>
      </c>
      <c r="M25" s="192"/>
      <c r="N25" s="190"/>
      <c r="O25" s="191"/>
      <c r="P25" s="191"/>
      <c r="Q25" s="191"/>
      <c r="R25" s="191"/>
      <c r="S25" s="190"/>
      <c r="T25" s="189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7"/>
      <c r="AF25" s="187"/>
      <c r="AG25" s="187"/>
      <c r="AH25" s="187"/>
      <c r="AI25" s="187"/>
      <c r="AJ25" s="186"/>
      <c r="AK25" s="173"/>
      <c r="AP25" s="164"/>
      <c r="AQ25" s="164"/>
      <c r="AR25" s="164"/>
    </row>
    <row r="26" spans="1:50" ht="18.75" customHeight="1" x14ac:dyDescent="0.25">
      <c r="A26" s="283"/>
      <c r="B26" s="185" t="s">
        <v>182</v>
      </c>
      <c r="C26" s="1158">
        <v>0</v>
      </c>
      <c r="D26" s="1157"/>
      <c r="E26" s="1170" t="s">
        <v>181</v>
      </c>
      <c r="F26" s="1171"/>
      <c r="G26" s="1171"/>
      <c r="H26" s="1171"/>
      <c r="I26" s="174"/>
      <c r="J26" s="174"/>
      <c r="K26" s="1153"/>
      <c r="L26" s="181" t="s">
        <v>180</v>
      </c>
      <c r="M26" s="184"/>
      <c r="N26" s="183"/>
      <c r="O26" s="177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5"/>
      <c r="AC26" s="183"/>
      <c r="AD26" s="183"/>
      <c r="AE26" s="183"/>
      <c r="AF26" s="183"/>
      <c r="AG26" s="183"/>
      <c r="AH26" s="183"/>
      <c r="AI26" s="183"/>
      <c r="AJ26" s="182"/>
      <c r="AK26" s="173"/>
      <c r="AP26" s="164"/>
      <c r="AQ26" s="164"/>
      <c r="AR26" s="164"/>
    </row>
    <row r="27" spans="1:50" ht="18.75" customHeight="1" x14ac:dyDescent="0.25">
      <c r="A27" s="283"/>
      <c r="B27" s="1174" t="s">
        <v>179</v>
      </c>
      <c r="C27" s="1158">
        <v>20</v>
      </c>
      <c r="D27" s="1157"/>
      <c r="E27" s="1172"/>
      <c r="F27" s="1173"/>
      <c r="G27" s="1173"/>
      <c r="H27" s="1173"/>
      <c r="I27" s="174"/>
      <c r="J27" s="174"/>
      <c r="K27" s="1153"/>
      <c r="L27" s="181" t="s">
        <v>178</v>
      </c>
      <c r="M27" s="180"/>
      <c r="N27" s="179"/>
      <c r="O27" s="179"/>
      <c r="P27" s="179"/>
      <c r="Q27" s="179"/>
      <c r="R27" s="179"/>
      <c r="S27" s="179"/>
      <c r="T27" s="179"/>
      <c r="U27" s="178"/>
      <c r="V27" s="178"/>
      <c r="W27" s="177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5"/>
      <c r="AK27" s="173"/>
      <c r="AP27" s="164"/>
      <c r="AQ27" s="164"/>
      <c r="AR27" s="164"/>
    </row>
    <row r="28" spans="1:50" ht="18" customHeight="1" x14ac:dyDescent="0.25">
      <c r="A28" s="283"/>
      <c r="B28" s="1175"/>
      <c r="C28" s="1158"/>
      <c r="D28" s="1157"/>
      <c r="E28" s="1172"/>
      <c r="F28" s="1173"/>
      <c r="G28" s="1173"/>
      <c r="H28" s="1173"/>
      <c r="I28" s="174"/>
      <c r="J28" s="174"/>
      <c r="K28" s="174"/>
      <c r="L28" s="1179" t="str">
        <f>IF(AND(C18&lt;350,AE20&gt;20),IF((M20+S20)&lt;20,"Уменьшите вес загрузки ящика","Слищком тяжелый ящик, уменьшите размер"),IF(AE20&gt;60,IF((M20+S20)&lt;60,"Уменьшите вес загрузки ящика","Слишком тяжелый ящик, уменьшите размер"),""))</f>
        <v/>
      </c>
      <c r="M28" s="1179"/>
      <c r="N28" s="1179"/>
      <c r="O28" s="1179"/>
      <c r="P28" s="1179"/>
      <c r="Q28" s="1179"/>
      <c r="R28" s="1179"/>
      <c r="S28" s="1179"/>
      <c r="T28" s="1179"/>
      <c r="U28" s="1179"/>
      <c r="V28" s="1179"/>
      <c r="W28" s="1179"/>
      <c r="X28" s="1179"/>
      <c r="Y28" s="1179"/>
      <c r="Z28" s="1179"/>
      <c r="AA28" s="1179"/>
      <c r="AB28" s="1179"/>
      <c r="AC28" s="1179"/>
      <c r="AD28" s="1179"/>
      <c r="AE28" s="1179"/>
      <c r="AF28" s="1179"/>
      <c r="AG28" s="1179"/>
      <c r="AH28" s="1179"/>
      <c r="AI28" s="1179"/>
      <c r="AJ28" s="1179"/>
      <c r="AK28" s="173"/>
      <c r="AP28" s="164"/>
      <c r="AQ28" s="164"/>
      <c r="AR28" s="164"/>
    </row>
    <row r="29" spans="1:50" ht="18.75" hidden="1" customHeight="1" x14ac:dyDescent="0.25">
      <c r="A29" s="283"/>
      <c r="B29" s="172"/>
      <c r="C29" s="171"/>
      <c r="D29" s="170"/>
      <c r="E29" s="1151"/>
      <c r="F29" s="1151"/>
      <c r="G29" s="1151"/>
      <c r="H29" s="1151"/>
      <c r="I29" s="166"/>
      <c r="J29" s="166"/>
      <c r="K29" s="174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80"/>
      <c r="AC29" s="1180"/>
      <c r="AD29" s="1180"/>
      <c r="AE29" s="1180"/>
      <c r="AF29" s="1180"/>
      <c r="AG29" s="1180"/>
      <c r="AH29" s="1180"/>
      <c r="AI29" s="1180"/>
      <c r="AJ29" s="1180"/>
      <c r="AK29" s="173"/>
      <c r="AP29" s="164"/>
      <c r="AQ29" s="164"/>
      <c r="AR29" s="164"/>
    </row>
    <row r="30" spans="1:50" ht="18.75" customHeight="1" x14ac:dyDescent="0.25">
      <c r="A30" s="284"/>
      <c r="B30" s="285"/>
      <c r="C30" s="286"/>
      <c r="D30" s="287"/>
      <c r="E30" s="1169"/>
      <c r="F30" s="1169"/>
      <c r="G30" s="1169"/>
      <c r="H30" s="1169"/>
      <c r="I30" s="288"/>
      <c r="J30" s="288"/>
      <c r="K30" s="169"/>
      <c r="L30" s="1178" t="s">
        <v>177</v>
      </c>
      <c r="M30" s="1178"/>
      <c r="N30" s="1178"/>
      <c r="O30" s="1178"/>
      <c r="P30" s="1178"/>
      <c r="Q30" s="1178"/>
      <c r="R30" s="1178"/>
      <c r="S30" s="1178"/>
      <c r="T30" s="1178"/>
      <c r="U30" s="1178"/>
      <c r="V30" s="1178"/>
      <c r="W30" s="1178"/>
      <c r="X30" s="1178"/>
      <c r="Y30" s="1178"/>
      <c r="Z30" s="1178"/>
      <c r="AA30" s="1178"/>
      <c r="AB30" s="1178"/>
      <c r="AC30" s="1178"/>
      <c r="AD30" s="1178"/>
      <c r="AE30" s="168">
        <f>FLOOR(1125/(C19-240),1)</f>
        <v>2</v>
      </c>
      <c r="AF30" s="1161" t="str">
        <f>IF(AE30&lt;2,"ящик",IF(AE30&lt;5,"ящика","ящиков"))</f>
        <v>ящика</v>
      </c>
      <c r="AG30" s="1161"/>
      <c r="AH30" s="1161"/>
      <c r="AI30" s="1161"/>
      <c r="AJ30" s="281"/>
      <c r="AK30" s="167"/>
      <c r="AP30" s="164"/>
      <c r="AQ30" s="164"/>
      <c r="AR30" s="164"/>
    </row>
    <row r="31" spans="1:50" ht="24" customHeight="1" thickBot="1" x14ac:dyDescent="0.4">
      <c r="A31" s="1146"/>
      <c r="B31" s="1147"/>
      <c r="C31" s="1147"/>
      <c r="D31" s="1147"/>
      <c r="E31" s="1148"/>
      <c r="F31" s="1148"/>
      <c r="G31" s="1148"/>
      <c r="H31" s="1148"/>
      <c r="I31" s="1148"/>
      <c r="J31" s="1148"/>
      <c r="K31" s="1148"/>
      <c r="L31" s="165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5"/>
      <c r="AP31" s="164"/>
      <c r="AQ31" s="164"/>
      <c r="AR31" s="164"/>
    </row>
    <row r="32" spans="1:50" ht="23.25" customHeight="1" x14ac:dyDescent="0.25">
      <c r="A32" s="1271" t="s">
        <v>467</v>
      </c>
      <c r="B32" s="1272"/>
      <c r="C32" s="1272"/>
      <c r="D32" s="1272"/>
      <c r="E32" s="1272"/>
      <c r="F32" s="1272"/>
      <c r="G32" s="1272"/>
      <c r="H32" s="1272"/>
      <c r="I32" s="1272"/>
      <c r="J32" s="1272"/>
      <c r="K32" s="1272"/>
      <c r="L32" s="1272"/>
      <c r="M32" s="1272"/>
      <c r="N32" s="1272"/>
      <c r="O32" s="1272"/>
      <c r="P32" s="1272"/>
      <c r="Q32" s="1272"/>
      <c r="R32" s="1272"/>
      <c r="S32" s="1272"/>
      <c r="T32" s="1272"/>
      <c r="U32" s="1272"/>
      <c r="V32" s="1272"/>
      <c r="W32" s="1272"/>
      <c r="X32" s="1272"/>
      <c r="Y32" s="1272"/>
      <c r="Z32" s="1272"/>
      <c r="AA32" s="1272"/>
      <c r="AB32" s="1272"/>
      <c r="AC32" s="1272"/>
      <c r="AD32" s="1272"/>
      <c r="AE32" s="1272"/>
      <c r="AF32" s="1272"/>
      <c r="AG32" s="1272"/>
      <c r="AH32" s="1272"/>
      <c r="AI32" s="1272"/>
      <c r="AJ32" s="1272"/>
      <c r="AK32" s="1273"/>
      <c r="AP32" s="164"/>
      <c r="AQ32" s="164"/>
      <c r="AR32" s="164"/>
    </row>
    <row r="33" spans="1:37" ht="19.5" customHeight="1" thickBot="1" x14ac:dyDescent="0.3">
      <c r="A33" s="1274"/>
      <c r="B33" s="1275"/>
      <c r="C33" s="1275"/>
      <c r="D33" s="1275"/>
      <c r="E33" s="1275"/>
      <c r="F33" s="1275"/>
      <c r="G33" s="1275"/>
      <c r="H33" s="1275"/>
      <c r="I33" s="1275"/>
      <c r="J33" s="1275"/>
      <c r="K33" s="1275"/>
      <c r="L33" s="1275"/>
      <c r="M33" s="1275"/>
      <c r="N33" s="1275"/>
      <c r="O33" s="1275"/>
      <c r="P33" s="1275"/>
      <c r="Q33" s="1275"/>
      <c r="R33" s="1275"/>
      <c r="S33" s="1275"/>
      <c r="T33" s="1275"/>
      <c r="U33" s="1275"/>
      <c r="V33" s="1275"/>
      <c r="W33" s="1275"/>
      <c r="X33" s="1275"/>
      <c r="Y33" s="1275"/>
      <c r="Z33" s="1275"/>
      <c r="AA33" s="1275"/>
      <c r="AB33" s="1275"/>
      <c r="AC33" s="1275"/>
      <c r="AD33" s="1275"/>
      <c r="AE33" s="1275"/>
      <c r="AF33" s="1275"/>
      <c r="AG33" s="1275"/>
      <c r="AH33" s="1275"/>
      <c r="AI33" s="1275"/>
      <c r="AJ33" s="1275"/>
      <c r="AK33" s="1276"/>
    </row>
    <row r="34" spans="1:37" ht="18.75" customHeight="1" x14ac:dyDescent="0.25">
      <c r="E34" s="1140"/>
      <c r="F34" s="1141"/>
      <c r="G34" s="1141"/>
      <c r="H34" s="1141"/>
      <c r="I34" s="1141"/>
      <c r="J34" s="1141"/>
    </row>
    <row r="35" spans="1:37" ht="23.25" customHeight="1" x14ac:dyDescent="0.25">
      <c r="E35" s="1141"/>
      <c r="F35" s="1141"/>
      <c r="G35" s="1141"/>
      <c r="H35" s="1141"/>
      <c r="I35" s="1141"/>
      <c r="J35" s="1141"/>
    </row>
    <row r="36" spans="1:37" x14ac:dyDescent="0.25">
      <c r="E36" s="1142"/>
      <c r="F36" s="1143"/>
      <c r="G36" s="1143"/>
      <c r="H36" s="1143"/>
      <c r="I36" s="1143"/>
      <c r="J36" s="1143"/>
    </row>
    <row r="37" spans="1:37" x14ac:dyDescent="0.25">
      <c r="E37" s="1144"/>
      <c r="F37" s="1144"/>
      <c r="G37" s="1144"/>
      <c r="H37" s="1144"/>
      <c r="I37" s="1144"/>
      <c r="J37" s="1144"/>
    </row>
    <row r="38" spans="1:37" x14ac:dyDescent="0.25">
      <c r="E38" s="1142"/>
      <c r="F38" s="1143"/>
      <c r="G38" s="1143"/>
      <c r="H38" s="1143"/>
      <c r="I38" s="1143"/>
      <c r="J38" s="1143"/>
    </row>
    <row r="39" spans="1:37" ht="21.75" customHeight="1" x14ac:dyDescent="0.25">
      <c r="E39" s="1144"/>
      <c r="F39" s="1144"/>
      <c r="G39" s="1144"/>
      <c r="H39" s="1144"/>
      <c r="I39" s="1144"/>
      <c r="J39" s="1144"/>
    </row>
    <row r="40" spans="1:37" x14ac:dyDescent="0.25">
      <c r="E40" s="1144"/>
      <c r="F40" s="1144"/>
      <c r="G40" s="1144"/>
      <c r="H40" s="1144"/>
      <c r="I40" s="1144"/>
      <c r="J40" s="1144"/>
    </row>
    <row r="41" spans="1:37" x14ac:dyDescent="0.25">
      <c r="E41" s="1145"/>
      <c r="F41" s="1277"/>
      <c r="G41" s="1277"/>
      <c r="H41" s="1277"/>
      <c r="I41" s="1277"/>
      <c r="J41" s="1277"/>
    </row>
    <row r="42" spans="1:37" x14ac:dyDescent="0.25">
      <c r="E42" s="1145"/>
      <c r="F42" s="1277"/>
      <c r="G42" s="1277"/>
      <c r="H42" s="1277"/>
      <c r="I42" s="1277"/>
      <c r="J42" s="1277"/>
    </row>
    <row r="44" spans="1:37" x14ac:dyDescent="0.25">
      <c r="E44" s="1269"/>
      <c r="F44" s="1270"/>
      <c r="G44" s="1270"/>
      <c r="H44" s="1270"/>
      <c r="I44" s="1270"/>
      <c r="J44" s="1270"/>
    </row>
    <row r="45" spans="1:37" x14ac:dyDescent="0.25">
      <c r="E45" s="1269"/>
      <c r="F45" s="1270"/>
      <c r="G45" s="1270"/>
      <c r="H45" s="1270"/>
      <c r="I45" s="1270"/>
      <c r="J45" s="1270"/>
    </row>
    <row r="46" spans="1:37" x14ac:dyDescent="0.25">
      <c r="E46" s="1269"/>
      <c r="F46" s="1270"/>
      <c r="G46" s="1270"/>
      <c r="H46" s="1270"/>
      <c r="I46" s="1270"/>
      <c r="J46" s="1270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dataConsolidate/>
  <mergeCells count="50">
    <mergeCell ref="E46:J46"/>
    <mergeCell ref="E34:J35"/>
    <mergeCell ref="E36:J37"/>
    <mergeCell ref="E38:J40"/>
    <mergeCell ref="E41:J41"/>
    <mergeCell ref="E42:J42"/>
    <mergeCell ref="E44:J44"/>
    <mergeCell ref="E30:H30"/>
    <mergeCell ref="L30:AD30"/>
    <mergeCell ref="AF30:AI30"/>
    <mergeCell ref="A31:K31"/>
    <mergeCell ref="E45:J45"/>
    <mergeCell ref="A32:AK33"/>
    <mergeCell ref="L28:AJ29"/>
    <mergeCell ref="C24:D24"/>
    <mergeCell ref="K24:L24"/>
    <mergeCell ref="M24:P24"/>
    <mergeCell ref="Q24:T24"/>
    <mergeCell ref="U24:X24"/>
    <mergeCell ref="E29:H29"/>
    <mergeCell ref="B25:D25"/>
    <mergeCell ref="E25:H25"/>
    <mergeCell ref="K25:K27"/>
    <mergeCell ref="C26:D26"/>
    <mergeCell ref="E26:H28"/>
    <mergeCell ref="B27:B28"/>
    <mergeCell ref="C27:D28"/>
    <mergeCell ref="Y24:AB24"/>
    <mergeCell ref="B20:D20"/>
    <mergeCell ref="M20:R20"/>
    <mergeCell ref="S20:X20"/>
    <mergeCell ref="Y20:AD20"/>
    <mergeCell ref="AC24:AF24"/>
    <mergeCell ref="AE20:AJ20"/>
    <mergeCell ref="L22:AJ23"/>
    <mergeCell ref="C23:D23"/>
    <mergeCell ref="AG24:AJ24"/>
    <mergeCell ref="A1:AK1"/>
    <mergeCell ref="AU1:AY1"/>
    <mergeCell ref="A12:AK12"/>
    <mergeCell ref="B15:D16"/>
    <mergeCell ref="M15:AJ17"/>
    <mergeCell ref="C17:D17"/>
    <mergeCell ref="I2:L11"/>
    <mergeCell ref="C18:D18"/>
    <mergeCell ref="M18:R19"/>
    <mergeCell ref="S18:X19"/>
    <mergeCell ref="Y18:AD19"/>
    <mergeCell ref="AE18:AJ19"/>
    <mergeCell ref="C19:D19"/>
  </mergeCells>
  <conditionalFormatting sqref="H23">
    <cfRule type="expression" dxfId="27" priority="25">
      <formula>$C$22=$AT$3</formula>
    </cfRule>
  </conditionalFormatting>
  <conditionalFormatting sqref="L25">
    <cfRule type="expression" dxfId="26" priority="26">
      <formula>AND(#REF!&gt;349,$AE$20&lt;20.01)</formula>
    </cfRule>
  </conditionalFormatting>
  <conditionalFormatting sqref="L26">
    <cfRule type="expression" dxfId="25" priority="27">
      <formula>AND(#REF!&gt;349,$AE$20&gt;4.99,$AE$20&lt;40.01)</formula>
    </cfRule>
  </conditionalFormatting>
  <conditionalFormatting sqref="L27">
    <cfRule type="expression" dxfId="24" priority="28">
      <formula>AND(#REF!&gt;349,$AE$20&gt;24.99,$AE$20&lt;60)</formula>
    </cfRule>
  </conditionalFormatting>
  <conditionalFormatting sqref="M25:M27">
    <cfRule type="expression" dxfId="23" priority="24">
      <formula>$AZ$2=1</formula>
    </cfRule>
  </conditionalFormatting>
  <conditionalFormatting sqref="N25:N27">
    <cfRule type="expression" dxfId="22" priority="23">
      <formula>$AZ$2=2</formula>
    </cfRule>
  </conditionalFormatting>
  <conditionalFormatting sqref="O25:O27">
    <cfRule type="expression" dxfId="21" priority="22">
      <formula>$AZ$2=3</formula>
    </cfRule>
  </conditionalFormatting>
  <conditionalFormatting sqref="P25:P27">
    <cfRule type="expression" dxfId="20" priority="21">
      <formula>$AZ$2=4</formula>
    </cfRule>
  </conditionalFormatting>
  <conditionalFormatting sqref="Q25:Q27">
    <cfRule type="expression" dxfId="19" priority="20">
      <formula>$AZ$2=5</formula>
    </cfRule>
  </conditionalFormatting>
  <conditionalFormatting sqref="R25:R27">
    <cfRule type="expression" dxfId="18" priority="19">
      <formula>$AZ$2=6</formula>
    </cfRule>
  </conditionalFormatting>
  <conditionalFormatting sqref="S25:S27">
    <cfRule type="expression" dxfId="17" priority="18">
      <formula>$AZ$2=7</formula>
    </cfRule>
  </conditionalFormatting>
  <conditionalFormatting sqref="T25:T27">
    <cfRule type="expression" dxfId="16" priority="17">
      <formula>$AZ$2=8</formula>
    </cfRule>
  </conditionalFormatting>
  <conditionalFormatting sqref="U25:U27">
    <cfRule type="expression" dxfId="15" priority="16">
      <formula>$AZ$2=9</formula>
    </cfRule>
  </conditionalFormatting>
  <conditionalFormatting sqref="V25:V27">
    <cfRule type="expression" dxfId="14" priority="15">
      <formula>$AZ$2=10</formula>
    </cfRule>
  </conditionalFormatting>
  <conditionalFormatting sqref="W25:W27">
    <cfRule type="expression" dxfId="13" priority="14">
      <formula>$AZ$2=11</formula>
    </cfRule>
  </conditionalFormatting>
  <conditionalFormatting sqref="X25:X27">
    <cfRule type="expression" dxfId="12" priority="13">
      <formula>$AZ$2=12</formula>
    </cfRule>
  </conditionalFormatting>
  <conditionalFormatting sqref="Y25:Y27">
    <cfRule type="expression" dxfId="11" priority="12">
      <formula>$AZ$2=13</formula>
    </cfRule>
  </conditionalFormatting>
  <conditionalFormatting sqref="Z25:Z27">
    <cfRule type="expression" dxfId="10" priority="11">
      <formula>$AZ$2=14</formula>
    </cfRule>
  </conditionalFormatting>
  <conditionalFormatting sqref="AA25:AA27">
    <cfRule type="expression" dxfId="9" priority="10">
      <formula>$AZ$2=15</formula>
    </cfRule>
  </conditionalFormatting>
  <conditionalFormatting sqref="AB25:AB27">
    <cfRule type="expression" dxfId="8" priority="9">
      <formula>$AZ$2=16</formula>
    </cfRule>
  </conditionalFormatting>
  <conditionalFormatting sqref="AC25:AC27">
    <cfRule type="expression" dxfId="7" priority="8">
      <formula>$AZ$2=17</formula>
    </cfRule>
  </conditionalFormatting>
  <conditionalFormatting sqref="AD25:AD27">
    <cfRule type="expression" dxfId="6" priority="7">
      <formula>$AZ$2=18</formula>
    </cfRule>
  </conditionalFormatting>
  <conditionalFormatting sqref="AE25:AE27">
    <cfRule type="expression" dxfId="5" priority="6">
      <formula>$AZ$2=19</formula>
    </cfRule>
  </conditionalFormatting>
  <conditionalFormatting sqref="AF25:AF27">
    <cfRule type="expression" dxfId="4" priority="5">
      <formula>$AZ$2=20</formula>
    </cfRule>
  </conditionalFormatting>
  <conditionalFormatting sqref="AG25:AG27">
    <cfRule type="expression" dxfId="3" priority="4">
      <formula>$AZ$2=21</formula>
    </cfRule>
  </conditionalFormatting>
  <conditionalFormatting sqref="AH25:AH27">
    <cfRule type="expression" dxfId="2" priority="3">
      <formula>$AZ$2=22</formula>
    </cfRule>
  </conditionalFormatting>
  <conditionalFormatting sqref="AI25:AI27">
    <cfRule type="expression" dxfId="1" priority="2">
      <formula>$AZ$2=23</formula>
    </cfRule>
  </conditionalFormatting>
  <conditionalFormatting sqref="AJ25:AJ27">
    <cfRule type="expression" dxfId="0" priority="1">
      <formula>$AZ$2=24</formula>
    </cfRule>
  </conditionalFormatting>
  <dataValidations count="5">
    <dataValidation type="list" allowBlank="1" showInputMessage="1" showErrorMessage="1" sqref="C17:D17" xr:uid="{00000000-0002-0000-0E00-000000000000}">
      <formula1>$AO$2:$AO$8</formula1>
    </dataValidation>
    <dataValidation type="list" allowBlank="1" showInputMessage="1" showErrorMessage="1" sqref="AM9" xr:uid="{00000000-0002-0000-0E00-000001000000}">
      <formula1>$AM$2:$AM$6</formula1>
    </dataValidation>
    <dataValidation type="list" allowBlank="1" showInputMessage="1" showErrorMessage="1" sqref="C18:D18" xr:uid="{00000000-0002-0000-0E00-000002000000}">
      <formula1>$AP$6:$AP$7</formula1>
    </dataValidation>
    <dataValidation type="list" allowBlank="1" showInputMessage="1" showErrorMessage="1" sqref="C22" xr:uid="{00000000-0002-0000-0E00-000003000000}">
      <formula1>$AQ$2:$AQ$6</formula1>
    </dataValidation>
    <dataValidation type="list" allowBlank="1" showInputMessage="1" showErrorMessage="1" sqref="D22" xr:uid="{00000000-0002-0000-0E00-000004000000}">
      <formula1>$AS$3:$AS$5</formula1>
    </dataValidation>
  </dataValidations>
  <hyperlinks>
    <hyperlink ref="AL1" location="Содержание!R1C1" display="← СОДЕРЖАНИЕ:" xr:uid="{00000000-0004-0000-0E00-000000000000}"/>
  </hyperlinks>
  <pageMargins left="0.70866141732283461" right="0.70866141732283461" top="0.74803149606299213" bottom="0.74803149606299213" header="0.31496062992125984" footer="0.31496062992125984"/>
  <pageSetup paperSize="9" scale="5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21">
    <tabColor theme="4" tint="0.79998168889431442"/>
  </sheetPr>
  <dimension ref="A1:J104"/>
  <sheetViews>
    <sheetView showGridLines="0" zoomScaleNormal="100" workbookViewId="0">
      <selection activeCell="S13" sqref="S13"/>
    </sheetView>
  </sheetViews>
  <sheetFormatPr defaultRowHeight="12.75" x14ac:dyDescent="0.2"/>
  <cols>
    <col min="1" max="1" width="28.7109375" customWidth="1"/>
    <col min="2" max="4" width="12.7109375" customWidth="1"/>
    <col min="5" max="5" width="12.7109375" style="3" customWidth="1"/>
    <col min="6" max="6" width="12.7109375" style="4" customWidth="1"/>
    <col min="7" max="7" width="12.7109375" style="2" customWidth="1"/>
    <col min="8" max="9" width="12.7109375" customWidth="1"/>
    <col min="10" max="10" width="18" customWidth="1"/>
    <col min="11" max="11" width="12.7109375" customWidth="1"/>
  </cols>
  <sheetData>
    <row r="1" spans="1:10" ht="42" thickBot="1" x14ac:dyDescent="0.25">
      <c r="A1" s="1279"/>
      <c r="B1" s="1280"/>
      <c r="C1" s="1280"/>
      <c r="D1" s="1280"/>
      <c r="E1" s="1280"/>
      <c r="F1" s="1280"/>
      <c r="G1" s="1280"/>
      <c r="H1" s="1280"/>
      <c r="I1" s="1281"/>
      <c r="J1" s="336" t="s">
        <v>295</v>
      </c>
    </row>
    <row r="2" spans="1:10" ht="13.5" thickBot="1" x14ac:dyDescent="0.25"/>
    <row r="3" spans="1:10" ht="12.95" customHeight="1" thickBot="1" x14ac:dyDescent="0.25">
      <c r="A3" s="1282" t="s">
        <v>54</v>
      </c>
      <c r="B3" s="1282" t="s">
        <v>53</v>
      </c>
      <c r="C3" s="1282"/>
      <c r="D3" s="1282" t="s">
        <v>53</v>
      </c>
      <c r="E3" s="1282"/>
      <c r="F3" s="1282" t="s">
        <v>53</v>
      </c>
      <c r="G3" s="1282"/>
      <c r="H3" s="1282" t="s">
        <v>53</v>
      </c>
      <c r="I3" s="1282"/>
    </row>
    <row r="4" spans="1:10" ht="12.95" customHeight="1" thickBot="1" x14ac:dyDescent="0.25">
      <c r="A4" s="1282"/>
      <c r="B4" s="29">
        <v>16</v>
      </c>
      <c r="C4" s="29">
        <v>18</v>
      </c>
      <c r="D4" s="29">
        <v>16</v>
      </c>
      <c r="E4" s="29">
        <v>18</v>
      </c>
      <c r="F4" s="29">
        <v>16</v>
      </c>
      <c r="G4" s="29">
        <v>18</v>
      </c>
      <c r="H4" s="29">
        <v>16</v>
      </c>
      <c r="I4" s="29">
        <v>18</v>
      </c>
    </row>
    <row r="5" spans="1:10" ht="39.950000000000003" customHeight="1" thickBot="1" x14ac:dyDescent="0.25">
      <c r="A5" s="1282"/>
      <c r="B5" s="1283" t="s">
        <v>57</v>
      </c>
      <c r="C5" s="1283"/>
      <c r="D5" s="1283" t="s">
        <v>59</v>
      </c>
      <c r="E5" s="1283"/>
      <c r="F5" s="1283" t="s">
        <v>60</v>
      </c>
      <c r="G5" s="1283"/>
      <c r="H5" s="1283" t="s">
        <v>58</v>
      </c>
      <c r="I5" s="1283"/>
    </row>
    <row r="6" spans="1:10" ht="15.95" customHeight="1" x14ac:dyDescent="0.2">
      <c r="A6" s="362">
        <v>360</v>
      </c>
      <c r="B6" s="41">
        <f>A6-($B$4*2)-91</f>
        <v>237</v>
      </c>
      <c r="C6" s="41">
        <f>A6-($C$4*2)-91</f>
        <v>233</v>
      </c>
      <c r="D6" s="41">
        <f>A6-($D$4*2)-132</f>
        <v>196</v>
      </c>
      <c r="E6" s="41">
        <f>A6-($E$4*2)-132</f>
        <v>192</v>
      </c>
      <c r="F6" s="41">
        <f>A6-($F$4*2)-122</f>
        <v>206</v>
      </c>
      <c r="G6" s="41">
        <f>A6-($G$4*2)-122</f>
        <v>202</v>
      </c>
      <c r="H6" s="52" t="s">
        <v>39</v>
      </c>
      <c r="I6" s="36" t="s">
        <v>39</v>
      </c>
    </row>
    <row r="7" spans="1:10" ht="15.95" customHeight="1" x14ac:dyDescent="0.2">
      <c r="A7" s="363">
        <v>350</v>
      </c>
      <c r="B7" s="33">
        <f t="shared" ref="B7:B14" si="0">A7-($B$4*2)-91</f>
        <v>227</v>
      </c>
      <c r="C7" s="33">
        <f t="shared" ref="C7:C14" si="1">A7-($C$4*2)-91</f>
        <v>223</v>
      </c>
      <c r="D7" s="33">
        <f t="shared" ref="D7:D14" si="2">A7-($D$4*2)-132</f>
        <v>186</v>
      </c>
      <c r="E7" s="33">
        <f t="shared" ref="E7:E14" si="3">A7-($E$4*2)-132</f>
        <v>182</v>
      </c>
      <c r="F7" s="33">
        <f t="shared" ref="F7:F14" si="4">A7-($F$4*2)-122</f>
        <v>196</v>
      </c>
      <c r="G7" s="33">
        <f t="shared" ref="G7:G14" si="5">A7-($G$4*2)-122</f>
        <v>192</v>
      </c>
      <c r="H7" s="53" t="s">
        <v>39</v>
      </c>
      <c r="I7" s="37" t="s">
        <v>39</v>
      </c>
    </row>
    <row r="8" spans="1:10" ht="15.95" customHeight="1" x14ac:dyDescent="0.2">
      <c r="A8" s="364">
        <v>400</v>
      </c>
      <c r="B8" s="34">
        <f t="shared" si="0"/>
        <v>277</v>
      </c>
      <c r="C8" s="34">
        <f t="shared" si="1"/>
        <v>273</v>
      </c>
      <c r="D8" s="34">
        <f t="shared" si="2"/>
        <v>236</v>
      </c>
      <c r="E8" s="34">
        <f t="shared" si="3"/>
        <v>232</v>
      </c>
      <c r="F8" s="34">
        <f t="shared" si="4"/>
        <v>246</v>
      </c>
      <c r="G8" s="34">
        <f t="shared" si="5"/>
        <v>242</v>
      </c>
      <c r="H8" s="53" t="s">
        <v>39</v>
      </c>
      <c r="I8" s="37" t="s">
        <v>39</v>
      </c>
    </row>
    <row r="9" spans="1:10" ht="15.95" customHeight="1" x14ac:dyDescent="0.2">
      <c r="A9" s="363">
        <v>450</v>
      </c>
      <c r="B9" s="33">
        <f t="shared" si="0"/>
        <v>327</v>
      </c>
      <c r="C9" s="33">
        <f t="shared" si="1"/>
        <v>323</v>
      </c>
      <c r="D9" s="33">
        <f t="shared" si="2"/>
        <v>286</v>
      </c>
      <c r="E9" s="33">
        <f t="shared" si="3"/>
        <v>282</v>
      </c>
      <c r="F9" s="33">
        <f t="shared" si="4"/>
        <v>296</v>
      </c>
      <c r="G9" s="33">
        <f t="shared" si="5"/>
        <v>292</v>
      </c>
      <c r="H9" s="30">
        <f t="shared" ref="H9:H14" si="6">A9-($H$4*2)-320</f>
        <v>98</v>
      </c>
      <c r="I9" s="38">
        <f t="shared" ref="I9:I14" si="7">A9-($I$4*2)-320</f>
        <v>94</v>
      </c>
    </row>
    <row r="10" spans="1:10" ht="15.95" customHeight="1" x14ac:dyDescent="0.2">
      <c r="A10" s="364">
        <v>500</v>
      </c>
      <c r="B10" s="34">
        <f t="shared" si="0"/>
        <v>377</v>
      </c>
      <c r="C10" s="34">
        <f t="shared" si="1"/>
        <v>373</v>
      </c>
      <c r="D10" s="34">
        <f t="shared" si="2"/>
        <v>336</v>
      </c>
      <c r="E10" s="34">
        <f t="shared" si="3"/>
        <v>332</v>
      </c>
      <c r="F10" s="34">
        <f t="shared" si="4"/>
        <v>346</v>
      </c>
      <c r="G10" s="34">
        <f t="shared" si="5"/>
        <v>342</v>
      </c>
      <c r="H10" s="31">
        <f t="shared" si="6"/>
        <v>148</v>
      </c>
      <c r="I10" s="39">
        <f t="shared" si="7"/>
        <v>144</v>
      </c>
    </row>
    <row r="11" spans="1:10" ht="15.95" customHeight="1" x14ac:dyDescent="0.2">
      <c r="A11" s="363">
        <v>550</v>
      </c>
      <c r="B11" s="33">
        <f t="shared" si="0"/>
        <v>427</v>
      </c>
      <c r="C11" s="33">
        <f t="shared" si="1"/>
        <v>423</v>
      </c>
      <c r="D11" s="33">
        <f t="shared" si="2"/>
        <v>386</v>
      </c>
      <c r="E11" s="33">
        <f t="shared" si="3"/>
        <v>382</v>
      </c>
      <c r="F11" s="33">
        <f t="shared" si="4"/>
        <v>396</v>
      </c>
      <c r="G11" s="33">
        <f t="shared" si="5"/>
        <v>392</v>
      </c>
      <c r="H11" s="30">
        <f t="shared" si="6"/>
        <v>198</v>
      </c>
      <c r="I11" s="38">
        <f t="shared" si="7"/>
        <v>194</v>
      </c>
    </row>
    <row r="12" spans="1:10" ht="15.95" customHeight="1" x14ac:dyDescent="0.2">
      <c r="A12" s="364">
        <v>600</v>
      </c>
      <c r="B12" s="34">
        <f t="shared" si="0"/>
        <v>477</v>
      </c>
      <c r="C12" s="34">
        <f t="shared" si="1"/>
        <v>473</v>
      </c>
      <c r="D12" s="34">
        <f t="shared" si="2"/>
        <v>436</v>
      </c>
      <c r="E12" s="34">
        <f t="shared" si="3"/>
        <v>432</v>
      </c>
      <c r="F12" s="34">
        <f t="shared" si="4"/>
        <v>446</v>
      </c>
      <c r="G12" s="34">
        <f t="shared" si="5"/>
        <v>442</v>
      </c>
      <c r="H12" s="31">
        <f t="shared" si="6"/>
        <v>248</v>
      </c>
      <c r="I12" s="39">
        <f t="shared" si="7"/>
        <v>244</v>
      </c>
    </row>
    <row r="13" spans="1:10" ht="15.95" customHeight="1" x14ac:dyDescent="0.2">
      <c r="A13" s="363">
        <v>650</v>
      </c>
      <c r="B13" s="33">
        <f t="shared" si="0"/>
        <v>527</v>
      </c>
      <c r="C13" s="33">
        <f t="shared" si="1"/>
        <v>523</v>
      </c>
      <c r="D13" s="33">
        <f t="shared" si="2"/>
        <v>486</v>
      </c>
      <c r="E13" s="33">
        <f t="shared" si="3"/>
        <v>482</v>
      </c>
      <c r="F13" s="33">
        <f t="shared" si="4"/>
        <v>496</v>
      </c>
      <c r="G13" s="33">
        <f t="shared" si="5"/>
        <v>492</v>
      </c>
      <c r="H13" s="30">
        <f t="shared" si="6"/>
        <v>298</v>
      </c>
      <c r="I13" s="38">
        <f t="shared" si="7"/>
        <v>294</v>
      </c>
    </row>
    <row r="14" spans="1:10" ht="15.95" customHeight="1" thickBot="1" x14ac:dyDescent="0.25">
      <c r="A14" s="365">
        <v>1200</v>
      </c>
      <c r="B14" s="35">
        <f t="shared" si="0"/>
        <v>1077</v>
      </c>
      <c r="C14" s="35">
        <f t="shared" si="1"/>
        <v>1073</v>
      </c>
      <c r="D14" s="35">
        <f t="shared" si="2"/>
        <v>1036</v>
      </c>
      <c r="E14" s="35">
        <f t="shared" si="3"/>
        <v>1032</v>
      </c>
      <c r="F14" s="35">
        <f t="shared" si="4"/>
        <v>1046</v>
      </c>
      <c r="G14" s="35">
        <f t="shared" si="5"/>
        <v>1042</v>
      </c>
      <c r="H14" s="32">
        <f t="shared" si="6"/>
        <v>848</v>
      </c>
      <c r="I14" s="40">
        <f t="shared" si="7"/>
        <v>844</v>
      </c>
    </row>
    <row r="16" spans="1:10" ht="13.5" thickBot="1" x14ac:dyDescent="0.25"/>
    <row r="17" spans="1:9" ht="13.5" thickBot="1" x14ac:dyDescent="0.25">
      <c r="A17" s="56" t="s">
        <v>74</v>
      </c>
      <c r="B17" s="56" t="s">
        <v>64</v>
      </c>
      <c r="C17" s="56" t="s">
        <v>67</v>
      </c>
      <c r="D17" s="56" t="s">
        <v>65</v>
      </c>
      <c r="E17" s="1278"/>
      <c r="F17" s="1278"/>
      <c r="G17" s="1278"/>
      <c r="H17" s="1278"/>
      <c r="I17" s="1278"/>
    </row>
    <row r="18" spans="1:9" x14ac:dyDescent="0.2">
      <c r="A18" s="61" t="s">
        <v>62</v>
      </c>
      <c r="B18" s="62">
        <f>$B$23-60</f>
        <v>390</v>
      </c>
      <c r="C18" s="62">
        <v>100</v>
      </c>
      <c r="D18" s="62">
        <v>8</v>
      </c>
      <c r="E18" s="1278"/>
      <c r="F18" s="1278"/>
      <c r="G18" s="1278"/>
      <c r="H18" s="1278"/>
      <c r="I18" s="1278"/>
    </row>
    <row r="19" spans="1:9" ht="13.5" thickBot="1" x14ac:dyDescent="0.25">
      <c r="A19" s="59" t="s">
        <v>63</v>
      </c>
      <c r="B19" s="60">
        <f>$B$22-($B$24*2)-118</f>
        <v>446</v>
      </c>
      <c r="C19" s="60">
        <v>100</v>
      </c>
      <c r="D19" s="60">
        <v>8</v>
      </c>
      <c r="E19" s="1278"/>
      <c r="F19" s="1278"/>
      <c r="G19" s="1278"/>
      <c r="H19" s="1278"/>
      <c r="I19" s="1278"/>
    </row>
    <row r="20" spans="1:9" x14ac:dyDescent="0.2">
      <c r="E20" s="1278"/>
      <c r="F20" s="1278"/>
      <c r="G20" s="1278"/>
      <c r="H20" s="1278"/>
      <c r="I20" s="1278"/>
    </row>
    <row r="21" spans="1:9" ht="13.5" thickBot="1" x14ac:dyDescent="0.25">
      <c r="E21" s="1278"/>
      <c r="F21" s="1278"/>
      <c r="G21" s="1278"/>
      <c r="H21" s="1278"/>
      <c r="I21" s="1278"/>
    </row>
    <row r="22" spans="1:9" x14ac:dyDescent="0.2">
      <c r="A22" s="46" t="s">
        <v>54</v>
      </c>
      <c r="B22" s="366">
        <v>600</v>
      </c>
      <c r="E22" s="1278"/>
      <c r="F22" s="1278"/>
      <c r="G22" s="1278"/>
      <c r="H22" s="1278"/>
      <c r="I22" s="1278"/>
    </row>
    <row r="23" spans="1:9" x14ac:dyDescent="0.2">
      <c r="A23" s="45" t="s">
        <v>66</v>
      </c>
      <c r="B23" s="367">
        <v>450</v>
      </c>
      <c r="E23" s="1278"/>
      <c r="F23" s="1278"/>
      <c r="G23" s="1278"/>
      <c r="H23" s="1278"/>
      <c r="I23" s="1278"/>
    </row>
    <row r="24" spans="1:9" ht="13.5" thickBot="1" x14ac:dyDescent="0.25">
      <c r="A24" s="44" t="s">
        <v>68</v>
      </c>
      <c r="B24" s="368">
        <v>18</v>
      </c>
      <c r="E24" s="1278"/>
      <c r="F24" s="1278"/>
      <c r="G24" s="1278"/>
      <c r="H24" s="1278"/>
      <c r="I24" s="1278"/>
    </row>
    <row r="25" spans="1:9" x14ac:dyDescent="0.2">
      <c r="E25" s="1278"/>
      <c r="F25" s="1278"/>
      <c r="G25" s="1278"/>
      <c r="H25" s="1278"/>
      <c r="I25" s="1278"/>
    </row>
    <row r="26" spans="1:9" x14ac:dyDescent="0.2">
      <c r="E26" s="1278"/>
      <c r="F26" s="1278"/>
      <c r="G26" s="1278"/>
      <c r="H26" s="1278"/>
      <c r="I26" s="1278"/>
    </row>
    <row r="27" spans="1:9" x14ac:dyDescent="0.2">
      <c r="E27" s="1278"/>
      <c r="F27" s="1278"/>
      <c r="G27" s="1278"/>
      <c r="H27" s="1278"/>
      <c r="I27" s="1278"/>
    </row>
    <row r="28" spans="1:9" x14ac:dyDescent="0.2">
      <c r="E28" s="1278"/>
      <c r="F28" s="1278"/>
      <c r="G28" s="1278"/>
      <c r="H28" s="1278"/>
      <c r="I28" s="1278"/>
    </row>
    <row r="29" spans="1:9" x14ac:dyDescent="0.2">
      <c r="E29" s="1278"/>
      <c r="F29" s="1278"/>
      <c r="G29" s="1278"/>
      <c r="H29" s="1278"/>
      <c r="I29" s="1278"/>
    </row>
    <row r="30" spans="1:9" ht="13.5" thickBot="1" x14ac:dyDescent="0.25">
      <c r="E30" s="1278"/>
      <c r="F30" s="1278"/>
      <c r="G30" s="1278"/>
      <c r="H30" s="1278"/>
      <c r="I30" s="1278"/>
    </row>
    <row r="31" spans="1:9" ht="42" thickBot="1" x14ac:dyDescent="0.25">
      <c r="A31" s="1279"/>
      <c r="B31" s="1280"/>
      <c r="C31" s="1280"/>
      <c r="D31" s="1280"/>
      <c r="E31" s="1280"/>
      <c r="F31" s="1280"/>
      <c r="G31" s="1280"/>
      <c r="H31" s="1280"/>
      <c r="I31" s="1281"/>
    </row>
    <row r="32" spans="1:9" ht="13.5" thickBot="1" x14ac:dyDescent="0.25"/>
    <row r="33" spans="1:9" ht="13.5" thickBot="1" x14ac:dyDescent="0.25">
      <c r="A33" s="1282" t="s">
        <v>54</v>
      </c>
      <c r="B33" s="1282" t="s">
        <v>53</v>
      </c>
      <c r="C33" s="1282"/>
      <c r="D33" s="1282" t="s">
        <v>53</v>
      </c>
      <c r="E33" s="1282"/>
      <c r="F33" s="1282" t="s">
        <v>53</v>
      </c>
      <c r="G33" s="1282"/>
      <c r="H33" s="1282" t="s">
        <v>53</v>
      </c>
      <c r="I33" s="1282"/>
    </row>
    <row r="34" spans="1:9" ht="13.5" thickBot="1" x14ac:dyDescent="0.25">
      <c r="A34" s="1282"/>
      <c r="B34" s="29">
        <v>16</v>
      </c>
      <c r="C34" s="29">
        <v>18</v>
      </c>
      <c r="D34" s="29">
        <v>16</v>
      </c>
      <c r="E34" s="29">
        <v>18</v>
      </c>
      <c r="F34" s="29">
        <v>16</v>
      </c>
      <c r="G34" s="29">
        <v>18</v>
      </c>
      <c r="H34" s="29">
        <v>16</v>
      </c>
      <c r="I34" s="29">
        <v>18</v>
      </c>
    </row>
    <row r="35" spans="1:9" ht="37.5" customHeight="1" thickBot="1" x14ac:dyDescent="0.25">
      <c r="A35" s="1282"/>
      <c r="B35" s="1283" t="s">
        <v>69</v>
      </c>
      <c r="C35" s="1283"/>
      <c r="D35" s="1283" t="s">
        <v>59</v>
      </c>
      <c r="E35" s="1283"/>
      <c r="F35" s="1283" t="s">
        <v>60</v>
      </c>
      <c r="G35" s="1283"/>
      <c r="H35" s="1283" t="s">
        <v>58</v>
      </c>
      <c r="I35" s="1283"/>
    </row>
    <row r="36" spans="1:9" x14ac:dyDescent="0.2">
      <c r="A36" s="48">
        <v>300</v>
      </c>
      <c r="B36" s="41">
        <f>A36-($B$4*2)-63</f>
        <v>205</v>
      </c>
      <c r="C36" s="41">
        <f>A36-($C$4*2)-63</f>
        <v>201</v>
      </c>
      <c r="D36" s="41">
        <f>A36-($D$4*2)-132</f>
        <v>136</v>
      </c>
      <c r="E36" s="41">
        <f>A36-($E$4*2)-132</f>
        <v>132</v>
      </c>
      <c r="F36" s="41">
        <f>A36-($F$4*2)-122</f>
        <v>146</v>
      </c>
      <c r="G36" s="41">
        <f>A36-($G$4*2)-122</f>
        <v>142</v>
      </c>
      <c r="H36" s="52" t="s">
        <v>39</v>
      </c>
      <c r="I36" s="36" t="s">
        <v>39</v>
      </c>
    </row>
    <row r="37" spans="1:9" x14ac:dyDescent="0.2">
      <c r="A37" s="49">
        <v>350</v>
      </c>
      <c r="B37" s="42">
        <f t="shared" ref="B37:B43" si="8">A37-($B$4*2)-63</f>
        <v>255</v>
      </c>
      <c r="C37" s="42">
        <f t="shared" ref="C37:C44" si="9">A37-($C$4*2)-63</f>
        <v>251</v>
      </c>
      <c r="D37" s="33">
        <f t="shared" ref="D37:D44" si="10">A37-($D$4*2)-132</f>
        <v>186</v>
      </c>
      <c r="E37" s="33">
        <f t="shared" ref="E37:E44" si="11">A37-($E$4*2)-132</f>
        <v>182</v>
      </c>
      <c r="F37" s="33">
        <f t="shared" ref="F37:F44" si="12">A37-($F$4*2)-122</f>
        <v>196</v>
      </c>
      <c r="G37" s="33">
        <f t="shared" ref="G37:G44" si="13">A37-($G$4*2)-122</f>
        <v>192</v>
      </c>
      <c r="H37" s="53" t="s">
        <v>39</v>
      </c>
      <c r="I37" s="37" t="s">
        <v>39</v>
      </c>
    </row>
    <row r="38" spans="1:9" x14ac:dyDescent="0.2">
      <c r="A38" s="50">
        <v>400</v>
      </c>
      <c r="B38" s="41">
        <f t="shared" si="8"/>
        <v>305</v>
      </c>
      <c r="C38" s="41">
        <f t="shared" si="9"/>
        <v>301</v>
      </c>
      <c r="D38" s="34">
        <f t="shared" si="10"/>
        <v>236</v>
      </c>
      <c r="E38" s="34">
        <f t="shared" si="11"/>
        <v>232</v>
      </c>
      <c r="F38" s="34">
        <f t="shared" si="12"/>
        <v>246</v>
      </c>
      <c r="G38" s="34">
        <f t="shared" si="13"/>
        <v>242</v>
      </c>
      <c r="H38" s="53" t="s">
        <v>39</v>
      </c>
      <c r="I38" s="37" t="s">
        <v>39</v>
      </c>
    </row>
    <row r="39" spans="1:9" x14ac:dyDescent="0.2">
      <c r="A39" s="49">
        <v>450</v>
      </c>
      <c r="B39" s="42">
        <f t="shared" si="8"/>
        <v>355</v>
      </c>
      <c r="C39" s="42">
        <f t="shared" si="9"/>
        <v>351</v>
      </c>
      <c r="D39" s="33">
        <f t="shared" si="10"/>
        <v>286</v>
      </c>
      <c r="E39" s="33">
        <f t="shared" si="11"/>
        <v>282</v>
      </c>
      <c r="F39" s="33">
        <f t="shared" si="12"/>
        <v>296</v>
      </c>
      <c r="G39" s="33">
        <f t="shared" si="13"/>
        <v>292</v>
      </c>
      <c r="H39" s="30">
        <f t="shared" ref="H39:H44" si="14">A39-($H$4*2)-320</f>
        <v>98</v>
      </c>
      <c r="I39" s="38">
        <f t="shared" ref="I39:I44" si="15">A39-($I$4*2)-320</f>
        <v>94</v>
      </c>
    </row>
    <row r="40" spans="1:9" x14ac:dyDescent="0.2">
      <c r="A40" s="50">
        <v>500</v>
      </c>
      <c r="B40" s="41">
        <f t="shared" si="8"/>
        <v>405</v>
      </c>
      <c r="C40" s="41">
        <f t="shared" si="9"/>
        <v>401</v>
      </c>
      <c r="D40" s="34">
        <f t="shared" si="10"/>
        <v>336</v>
      </c>
      <c r="E40" s="34">
        <f t="shared" si="11"/>
        <v>332</v>
      </c>
      <c r="F40" s="34">
        <f t="shared" si="12"/>
        <v>346</v>
      </c>
      <c r="G40" s="34">
        <f t="shared" si="13"/>
        <v>342</v>
      </c>
      <c r="H40" s="31">
        <f t="shared" si="14"/>
        <v>148</v>
      </c>
      <c r="I40" s="39">
        <f t="shared" si="15"/>
        <v>144</v>
      </c>
    </row>
    <row r="41" spans="1:9" x14ac:dyDescent="0.2">
      <c r="A41" s="49">
        <v>550</v>
      </c>
      <c r="B41" s="42">
        <f t="shared" si="8"/>
        <v>455</v>
      </c>
      <c r="C41" s="42">
        <f t="shared" si="9"/>
        <v>451</v>
      </c>
      <c r="D41" s="33">
        <f t="shared" si="10"/>
        <v>386</v>
      </c>
      <c r="E41" s="33">
        <f t="shared" si="11"/>
        <v>382</v>
      </c>
      <c r="F41" s="33">
        <f t="shared" si="12"/>
        <v>396</v>
      </c>
      <c r="G41" s="33">
        <f t="shared" si="13"/>
        <v>392</v>
      </c>
      <c r="H41" s="30">
        <f t="shared" si="14"/>
        <v>198</v>
      </c>
      <c r="I41" s="38">
        <f t="shared" si="15"/>
        <v>194</v>
      </c>
    </row>
    <row r="42" spans="1:9" x14ac:dyDescent="0.2">
      <c r="A42" s="50">
        <v>600</v>
      </c>
      <c r="B42" s="41">
        <f t="shared" si="8"/>
        <v>505</v>
      </c>
      <c r="C42" s="41">
        <f t="shared" si="9"/>
        <v>501</v>
      </c>
      <c r="D42" s="34">
        <f t="shared" si="10"/>
        <v>436</v>
      </c>
      <c r="E42" s="34">
        <f t="shared" si="11"/>
        <v>432</v>
      </c>
      <c r="F42" s="34">
        <f t="shared" si="12"/>
        <v>446</v>
      </c>
      <c r="G42" s="34">
        <f t="shared" si="13"/>
        <v>442</v>
      </c>
      <c r="H42" s="31">
        <f t="shared" si="14"/>
        <v>248</v>
      </c>
      <c r="I42" s="39">
        <f t="shared" si="15"/>
        <v>244</v>
      </c>
    </row>
    <row r="43" spans="1:9" x14ac:dyDescent="0.2">
      <c r="A43" s="49">
        <v>650</v>
      </c>
      <c r="B43" s="42">
        <f t="shared" si="8"/>
        <v>555</v>
      </c>
      <c r="C43" s="42">
        <f t="shared" si="9"/>
        <v>551</v>
      </c>
      <c r="D43" s="33">
        <f t="shared" si="10"/>
        <v>486</v>
      </c>
      <c r="E43" s="33">
        <f t="shared" si="11"/>
        <v>482</v>
      </c>
      <c r="F43" s="33">
        <f t="shared" si="12"/>
        <v>496</v>
      </c>
      <c r="G43" s="33">
        <f t="shared" si="13"/>
        <v>492</v>
      </c>
      <c r="H43" s="30">
        <f t="shared" si="14"/>
        <v>298</v>
      </c>
      <c r="I43" s="38">
        <f t="shared" si="15"/>
        <v>294</v>
      </c>
    </row>
    <row r="44" spans="1:9" ht="13.5" thickBot="1" x14ac:dyDescent="0.25">
      <c r="A44" s="51">
        <v>1200</v>
      </c>
      <c r="B44" s="41">
        <f>A44-($B$4*2)-64</f>
        <v>1104</v>
      </c>
      <c r="C44" s="41">
        <f t="shared" si="9"/>
        <v>1101</v>
      </c>
      <c r="D44" s="35">
        <f t="shared" si="10"/>
        <v>1036</v>
      </c>
      <c r="E44" s="35">
        <f t="shared" si="11"/>
        <v>1032</v>
      </c>
      <c r="F44" s="35">
        <f t="shared" si="12"/>
        <v>1046</v>
      </c>
      <c r="G44" s="35">
        <f t="shared" si="13"/>
        <v>1042</v>
      </c>
      <c r="H44" s="32">
        <f t="shared" si="14"/>
        <v>848</v>
      </c>
      <c r="I44" s="40">
        <f t="shared" si="15"/>
        <v>844</v>
      </c>
    </row>
    <row r="46" spans="1:9" ht="13.5" thickBot="1" x14ac:dyDescent="0.25"/>
    <row r="47" spans="1:9" ht="13.5" thickBot="1" x14ac:dyDescent="0.25">
      <c r="A47" s="56" t="s">
        <v>74</v>
      </c>
      <c r="B47" s="56" t="s">
        <v>64</v>
      </c>
      <c r="C47" s="56" t="s">
        <v>67</v>
      </c>
      <c r="D47" s="56" t="s">
        <v>65</v>
      </c>
      <c r="E47" s="1278"/>
      <c r="F47" s="1278"/>
      <c r="G47" s="1278"/>
      <c r="H47" s="1278"/>
      <c r="I47" s="1278"/>
    </row>
    <row r="48" spans="1:9" x14ac:dyDescent="0.2">
      <c r="A48" s="61" t="s">
        <v>71</v>
      </c>
      <c r="B48" s="62">
        <f>$B$22-33</f>
        <v>567</v>
      </c>
      <c r="C48" s="63" t="s">
        <v>72</v>
      </c>
      <c r="D48" s="62">
        <v>8</v>
      </c>
      <c r="E48" s="1278"/>
      <c r="F48" s="1278"/>
      <c r="G48" s="1278"/>
      <c r="H48" s="1278"/>
      <c r="I48" s="1278"/>
    </row>
    <row r="49" spans="1:9" ht="13.5" thickBot="1" x14ac:dyDescent="0.25">
      <c r="A49" s="59" t="s">
        <v>70</v>
      </c>
      <c r="B49" s="65">
        <f>$B$22-33</f>
        <v>567</v>
      </c>
      <c r="C49" s="64" t="s">
        <v>73</v>
      </c>
      <c r="D49" s="60">
        <v>8</v>
      </c>
      <c r="E49" s="1278"/>
      <c r="F49" s="1278"/>
      <c r="G49" s="1278"/>
      <c r="H49" s="1278"/>
      <c r="I49" s="1278"/>
    </row>
    <row r="50" spans="1:9" x14ac:dyDescent="0.2">
      <c r="E50" s="1278"/>
      <c r="F50" s="1278"/>
      <c r="G50" s="1278"/>
      <c r="H50" s="1278"/>
      <c r="I50" s="1278"/>
    </row>
    <row r="51" spans="1:9" ht="13.5" thickBot="1" x14ac:dyDescent="0.25">
      <c r="E51" s="1278"/>
      <c r="F51" s="1278"/>
      <c r="G51" s="1278"/>
      <c r="H51" s="1278"/>
      <c r="I51" s="1278"/>
    </row>
    <row r="52" spans="1:9" ht="13.5" thickBot="1" x14ac:dyDescent="0.25">
      <c r="A52" s="66" t="s">
        <v>66</v>
      </c>
      <c r="B52" s="43">
        <v>500</v>
      </c>
      <c r="E52" s="1278"/>
      <c r="F52" s="1278"/>
      <c r="G52" s="1278"/>
      <c r="H52" s="1278"/>
      <c r="I52" s="1278"/>
    </row>
    <row r="53" spans="1:9" x14ac:dyDescent="0.2">
      <c r="E53" s="1278"/>
      <c r="F53" s="1278"/>
      <c r="G53" s="1278"/>
      <c r="H53" s="1278"/>
      <c r="I53" s="1278"/>
    </row>
    <row r="54" spans="1:9" x14ac:dyDescent="0.2">
      <c r="E54" s="1278"/>
      <c r="F54" s="1278"/>
      <c r="G54" s="1278"/>
      <c r="H54" s="1278"/>
      <c r="I54" s="1278"/>
    </row>
    <row r="55" spans="1:9" x14ac:dyDescent="0.2">
      <c r="E55" s="1278"/>
      <c r="F55" s="1278"/>
      <c r="G55" s="1278"/>
      <c r="H55" s="1278"/>
      <c r="I55" s="1278"/>
    </row>
    <row r="56" spans="1:9" x14ac:dyDescent="0.2">
      <c r="E56" s="1278"/>
      <c r="F56" s="1278"/>
      <c r="G56" s="1278"/>
      <c r="H56" s="1278"/>
      <c r="I56" s="1278"/>
    </row>
    <row r="57" spans="1:9" x14ac:dyDescent="0.2">
      <c r="E57" s="1278"/>
      <c r="F57" s="1278"/>
      <c r="G57" s="1278"/>
      <c r="H57" s="1278"/>
      <c r="I57" s="1278"/>
    </row>
    <row r="58" spans="1:9" x14ac:dyDescent="0.2">
      <c r="E58" s="1278"/>
      <c r="F58" s="1278"/>
      <c r="G58" s="1278"/>
      <c r="H58" s="1278"/>
      <c r="I58" s="1278"/>
    </row>
    <row r="59" spans="1:9" x14ac:dyDescent="0.2">
      <c r="E59" s="1278"/>
      <c r="F59" s="1278"/>
      <c r="G59" s="1278"/>
      <c r="H59" s="1278"/>
      <c r="I59" s="1278"/>
    </row>
    <row r="60" spans="1:9" x14ac:dyDescent="0.2">
      <c r="E60" s="1278"/>
      <c r="F60" s="1278"/>
      <c r="G60" s="1278"/>
      <c r="H60" s="1278"/>
      <c r="I60" s="1278"/>
    </row>
    <row r="61" spans="1:9" x14ac:dyDescent="0.2">
      <c r="E61" s="1278"/>
      <c r="F61" s="1278"/>
      <c r="G61" s="1278"/>
      <c r="H61" s="1278"/>
      <c r="I61" s="1278"/>
    </row>
    <row r="62" spans="1:9" x14ac:dyDescent="0.2">
      <c r="E62" s="1278"/>
      <c r="F62" s="1278"/>
      <c r="G62" s="1278"/>
      <c r="H62" s="1278"/>
      <c r="I62" s="1278"/>
    </row>
    <row r="63" spans="1:9" x14ac:dyDescent="0.2">
      <c r="E63" s="1278"/>
      <c r="F63" s="1278"/>
      <c r="G63" s="1278"/>
      <c r="H63" s="1278"/>
      <c r="I63" s="1278"/>
    </row>
    <row r="64" spans="1:9" x14ac:dyDescent="0.2">
      <c r="E64" s="1278"/>
      <c r="F64" s="1278"/>
      <c r="G64" s="1278"/>
      <c r="H64" s="1278"/>
      <c r="I64" s="1278"/>
    </row>
    <row r="65" spans="1:9" x14ac:dyDescent="0.2">
      <c r="E65" s="1278"/>
      <c r="F65" s="1278"/>
      <c r="G65" s="1278"/>
      <c r="H65" s="1278"/>
      <c r="I65" s="1278"/>
    </row>
    <row r="66" spans="1:9" x14ac:dyDescent="0.2">
      <c r="E66" s="1278"/>
      <c r="F66" s="1278"/>
      <c r="G66" s="1278"/>
      <c r="H66" s="1278"/>
      <c r="I66" s="1278"/>
    </row>
    <row r="67" spans="1:9" x14ac:dyDescent="0.2">
      <c r="E67" s="1278"/>
      <c r="F67" s="1278"/>
      <c r="G67" s="1278"/>
      <c r="H67" s="1278"/>
      <c r="I67" s="1278"/>
    </row>
    <row r="68" spans="1:9" x14ac:dyDescent="0.2">
      <c r="E68" s="1278"/>
      <c r="F68" s="1278"/>
      <c r="G68" s="1278"/>
      <c r="H68" s="1278"/>
      <c r="I68" s="1278"/>
    </row>
    <row r="69" spans="1:9" x14ac:dyDescent="0.2">
      <c r="E69" s="1278"/>
      <c r="F69" s="1278"/>
      <c r="G69" s="1278"/>
      <c r="H69" s="1278"/>
      <c r="I69" s="1278"/>
    </row>
    <row r="70" spans="1:9" x14ac:dyDescent="0.2">
      <c r="E70" s="1278"/>
      <c r="F70" s="1278"/>
      <c r="G70" s="1278"/>
      <c r="H70" s="1278"/>
      <c r="I70" s="1278"/>
    </row>
    <row r="71" spans="1:9" x14ac:dyDescent="0.2">
      <c r="E71" s="1278"/>
      <c r="F71" s="1278"/>
      <c r="G71" s="1278"/>
      <c r="H71" s="1278"/>
      <c r="I71" s="1278"/>
    </row>
    <row r="72" spans="1:9" x14ac:dyDescent="0.2">
      <c r="E72" s="1278"/>
      <c r="F72" s="1278"/>
      <c r="G72" s="1278"/>
      <c r="H72" s="1278"/>
      <c r="I72" s="1278"/>
    </row>
    <row r="73" spans="1:9" x14ac:dyDescent="0.2">
      <c r="E73" s="1278"/>
      <c r="F73" s="1278"/>
      <c r="G73" s="1278"/>
      <c r="H73" s="1278"/>
      <c r="I73" s="1278"/>
    </row>
    <row r="74" spans="1:9" ht="13.5" thickBot="1" x14ac:dyDescent="0.25">
      <c r="E74" s="1278"/>
      <c r="F74" s="1278"/>
      <c r="G74" s="1278"/>
      <c r="H74" s="1278"/>
      <c r="I74" s="1278"/>
    </row>
    <row r="75" spans="1:9" ht="42" thickBot="1" x14ac:dyDescent="0.25">
      <c r="A75" s="1279"/>
      <c r="B75" s="1280"/>
      <c r="C75" s="1280"/>
      <c r="D75" s="1280"/>
      <c r="E75" s="1280"/>
      <c r="F75" s="1280"/>
      <c r="G75" s="1280"/>
      <c r="H75" s="1280"/>
      <c r="I75" s="1281"/>
    </row>
    <row r="76" spans="1:9" ht="13.5" thickBot="1" x14ac:dyDescent="0.25">
      <c r="A76" s="7"/>
      <c r="B76" s="7"/>
      <c r="C76" s="7"/>
      <c r="D76" s="7"/>
      <c r="E76" s="8"/>
      <c r="F76" s="9"/>
      <c r="G76" s="10"/>
    </row>
    <row r="77" spans="1:9" ht="13.5" thickBot="1" x14ac:dyDescent="0.25">
      <c r="A77" s="1282" t="s">
        <v>54</v>
      </c>
      <c r="B77" s="1282" t="s">
        <v>53</v>
      </c>
      <c r="C77" s="1282"/>
      <c r="D77" s="1282" t="s">
        <v>53</v>
      </c>
      <c r="E77" s="1282"/>
      <c r="F77" s="1282" t="s">
        <v>53</v>
      </c>
      <c r="G77" s="1282"/>
      <c r="H77" s="1282" t="s">
        <v>53</v>
      </c>
      <c r="I77" s="1282"/>
    </row>
    <row r="78" spans="1:9" ht="13.5" thickBot="1" x14ac:dyDescent="0.25">
      <c r="A78" s="1282"/>
      <c r="B78" s="29">
        <v>16</v>
      </c>
      <c r="C78" s="29">
        <v>18</v>
      </c>
      <c r="D78" s="29">
        <v>16</v>
      </c>
      <c r="E78" s="29">
        <v>18</v>
      </c>
      <c r="F78" s="29">
        <v>16</v>
      </c>
      <c r="G78" s="29">
        <v>18</v>
      </c>
      <c r="H78" s="29">
        <v>16</v>
      </c>
      <c r="I78" s="29">
        <v>18</v>
      </c>
    </row>
    <row r="79" spans="1:9" ht="36.75" customHeight="1" thickBot="1" x14ac:dyDescent="0.25">
      <c r="A79" s="1282"/>
      <c r="B79" s="1283" t="s">
        <v>57</v>
      </c>
      <c r="C79" s="1283"/>
      <c r="D79" s="1283" t="s">
        <v>56</v>
      </c>
      <c r="E79" s="1283"/>
      <c r="F79" s="1283" t="s">
        <v>55</v>
      </c>
      <c r="G79" s="1283"/>
      <c r="H79" s="1283" t="s">
        <v>58</v>
      </c>
      <c r="I79" s="1283"/>
    </row>
    <row r="80" spans="1:9" x14ac:dyDescent="0.2">
      <c r="A80" s="369">
        <v>300</v>
      </c>
      <c r="B80" s="144">
        <v>177</v>
      </c>
      <c r="C80" s="145">
        <v>173</v>
      </c>
      <c r="D80" s="144">
        <v>181</v>
      </c>
      <c r="E80" s="146">
        <v>177</v>
      </c>
      <c r="F80" s="147">
        <v>200</v>
      </c>
      <c r="G80" s="144">
        <v>196</v>
      </c>
      <c r="H80" s="148" t="s">
        <v>39</v>
      </c>
      <c r="I80" s="148" t="s">
        <v>39</v>
      </c>
    </row>
    <row r="81" spans="1:9" x14ac:dyDescent="0.2">
      <c r="A81" s="370">
        <v>350</v>
      </c>
      <c r="B81" s="149">
        <v>227</v>
      </c>
      <c r="C81" s="150">
        <v>223</v>
      </c>
      <c r="D81" s="149">
        <v>231</v>
      </c>
      <c r="E81" s="151">
        <v>227</v>
      </c>
      <c r="F81" s="150">
        <v>250</v>
      </c>
      <c r="G81" s="149">
        <v>246</v>
      </c>
      <c r="H81" s="152" t="s">
        <v>39</v>
      </c>
      <c r="I81" s="152" t="s">
        <v>39</v>
      </c>
    </row>
    <row r="82" spans="1:9" x14ac:dyDescent="0.2">
      <c r="A82" s="371">
        <v>400</v>
      </c>
      <c r="B82" s="153">
        <v>277</v>
      </c>
      <c r="C82" s="154">
        <v>273</v>
      </c>
      <c r="D82" s="153">
        <v>281</v>
      </c>
      <c r="E82" s="155">
        <v>277</v>
      </c>
      <c r="F82" s="154">
        <v>300</v>
      </c>
      <c r="G82" s="153">
        <v>296</v>
      </c>
      <c r="H82" s="152" t="s">
        <v>39</v>
      </c>
      <c r="I82" s="152" t="s">
        <v>39</v>
      </c>
    </row>
    <row r="83" spans="1:9" x14ac:dyDescent="0.2">
      <c r="A83" s="370">
        <v>450</v>
      </c>
      <c r="B83" s="149">
        <v>327</v>
      </c>
      <c r="C83" s="150">
        <v>323</v>
      </c>
      <c r="D83" s="149">
        <v>331</v>
      </c>
      <c r="E83" s="151">
        <v>327</v>
      </c>
      <c r="F83" s="150">
        <v>350</v>
      </c>
      <c r="G83" s="149">
        <v>346</v>
      </c>
      <c r="H83" s="156">
        <v>98</v>
      </c>
      <c r="I83" s="156">
        <v>94</v>
      </c>
    </row>
    <row r="84" spans="1:9" x14ac:dyDescent="0.2">
      <c r="A84" s="371">
        <v>500</v>
      </c>
      <c r="B84" s="153">
        <v>377</v>
      </c>
      <c r="C84" s="154">
        <v>373</v>
      </c>
      <c r="D84" s="153">
        <v>381</v>
      </c>
      <c r="E84" s="155">
        <v>377</v>
      </c>
      <c r="F84" s="154">
        <v>400</v>
      </c>
      <c r="G84" s="153">
        <v>396</v>
      </c>
      <c r="H84" s="157">
        <v>148</v>
      </c>
      <c r="I84" s="157">
        <v>144</v>
      </c>
    </row>
    <row r="85" spans="1:9" x14ac:dyDescent="0.2">
      <c r="A85" s="370">
        <v>550</v>
      </c>
      <c r="B85" s="149">
        <v>427</v>
      </c>
      <c r="C85" s="150">
        <v>423</v>
      </c>
      <c r="D85" s="149">
        <v>431</v>
      </c>
      <c r="E85" s="151">
        <v>427</v>
      </c>
      <c r="F85" s="150">
        <v>450</v>
      </c>
      <c r="G85" s="149">
        <v>446</v>
      </c>
      <c r="H85" s="156">
        <v>198</v>
      </c>
      <c r="I85" s="156">
        <v>194</v>
      </c>
    </row>
    <row r="86" spans="1:9" x14ac:dyDescent="0.2">
      <c r="A86" s="371">
        <v>600</v>
      </c>
      <c r="B86" s="153">
        <v>477</v>
      </c>
      <c r="C86" s="154">
        <v>473</v>
      </c>
      <c r="D86" s="153">
        <v>481</v>
      </c>
      <c r="E86" s="155">
        <v>477</v>
      </c>
      <c r="F86" s="154">
        <v>500</v>
      </c>
      <c r="G86" s="153">
        <v>496</v>
      </c>
      <c r="H86" s="157">
        <v>248</v>
      </c>
      <c r="I86" s="157">
        <v>244</v>
      </c>
    </row>
    <row r="87" spans="1:9" x14ac:dyDescent="0.2">
      <c r="A87" s="370">
        <v>650</v>
      </c>
      <c r="B87" s="149">
        <v>527</v>
      </c>
      <c r="C87" s="150">
        <v>523</v>
      </c>
      <c r="D87" s="149">
        <v>531</v>
      </c>
      <c r="E87" s="151">
        <v>527</v>
      </c>
      <c r="F87" s="150">
        <v>550</v>
      </c>
      <c r="G87" s="149">
        <v>546</v>
      </c>
      <c r="H87" s="156">
        <v>298</v>
      </c>
      <c r="I87" s="156">
        <v>294</v>
      </c>
    </row>
    <row r="88" spans="1:9" ht="13.5" thickBot="1" x14ac:dyDescent="0.25">
      <c r="A88" s="372">
        <v>1200</v>
      </c>
      <c r="B88" s="158">
        <v>1077</v>
      </c>
      <c r="C88" s="159">
        <v>1073</v>
      </c>
      <c r="D88" s="160">
        <v>1081</v>
      </c>
      <c r="E88" s="158">
        <v>1077</v>
      </c>
      <c r="F88" s="159">
        <v>1100</v>
      </c>
      <c r="G88" s="161">
        <v>1096</v>
      </c>
      <c r="H88" s="162">
        <v>848</v>
      </c>
      <c r="I88" s="162">
        <v>844</v>
      </c>
    </row>
    <row r="89" spans="1:9" x14ac:dyDescent="0.2">
      <c r="D89" s="24"/>
      <c r="E89" s="24"/>
    </row>
    <row r="90" spans="1:9" ht="13.5" thickBot="1" x14ac:dyDescent="0.25">
      <c r="A90" s="55"/>
      <c r="B90" s="55"/>
      <c r="C90" s="55"/>
      <c r="D90" s="55"/>
    </row>
    <row r="91" spans="1:9" ht="13.5" thickBot="1" x14ac:dyDescent="0.25">
      <c r="A91" s="56" t="s">
        <v>61</v>
      </c>
      <c r="B91" s="56" t="s">
        <v>64</v>
      </c>
      <c r="C91" s="56" t="s">
        <v>67</v>
      </c>
      <c r="D91" s="56" t="s">
        <v>65</v>
      </c>
      <c r="E91" s="1278"/>
      <c r="F91" s="1278"/>
      <c r="G91" s="1278"/>
      <c r="H91" s="1278"/>
      <c r="I91" s="1278"/>
    </row>
    <row r="92" spans="1:9" ht="13.5" thickBot="1" x14ac:dyDescent="0.25">
      <c r="A92" s="57" t="s">
        <v>75</v>
      </c>
      <c r="B92" s="58">
        <f>$B$21-40</f>
        <v>-40</v>
      </c>
      <c r="C92" s="58">
        <v>98</v>
      </c>
      <c r="D92" s="58">
        <v>4</v>
      </c>
      <c r="E92" s="1278"/>
      <c r="F92" s="1278"/>
      <c r="G92" s="1278"/>
      <c r="H92" s="1278"/>
      <c r="I92" s="1278"/>
    </row>
    <row r="93" spans="1:9" x14ac:dyDescent="0.2">
      <c r="E93" s="1278"/>
      <c r="F93" s="1278"/>
      <c r="G93" s="1278"/>
      <c r="H93" s="1278"/>
      <c r="I93" s="1278"/>
    </row>
    <row r="94" spans="1:9" ht="13.5" thickBot="1" x14ac:dyDescent="0.25">
      <c r="A94" s="55"/>
      <c r="B94" s="55"/>
      <c r="E94" s="1278"/>
      <c r="F94" s="1278"/>
      <c r="G94" s="1278"/>
      <c r="H94" s="1278"/>
      <c r="I94" s="1278"/>
    </row>
    <row r="95" spans="1:9" ht="13.5" thickBot="1" x14ac:dyDescent="0.25">
      <c r="A95" s="54" t="s">
        <v>66</v>
      </c>
      <c r="B95" s="47">
        <v>450</v>
      </c>
      <c r="E95" s="1278"/>
      <c r="F95" s="1278"/>
      <c r="G95" s="1278"/>
      <c r="H95" s="1278"/>
      <c r="I95" s="1278"/>
    </row>
    <row r="96" spans="1:9" x14ac:dyDescent="0.2">
      <c r="E96" s="1278"/>
      <c r="F96" s="1278"/>
      <c r="G96" s="1278"/>
      <c r="H96" s="1278"/>
      <c r="I96" s="1278"/>
    </row>
    <row r="97" spans="5:9" x14ac:dyDescent="0.2">
      <c r="E97" s="1278"/>
      <c r="F97" s="1278"/>
      <c r="G97" s="1278"/>
      <c r="H97" s="1278"/>
      <c r="I97" s="1278"/>
    </row>
    <row r="98" spans="5:9" x14ac:dyDescent="0.2">
      <c r="E98" s="1278"/>
      <c r="F98" s="1278"/>
      <c r="G98" s="1278"/>
      <c r="H98" s="1278"/>
      <c r="I98" s="1278"/>
    </row>
    <row r="99" spans="5:9" x14ac:dyDescent="0.2">
      <c r="E99" s="1278"/>
      <c r="F99" s="1278"/>
      <c r="G99" s="1278"/>
      <c r="H99" s="1278"/>
      <c r="I99" s="1278"/>
    </row>
    <row r="100" spans="5:9" x14ac:dyDescent="0.2">
      <c r="E100" s="1278"/>
      <c r="F100" s="1278"/>
      <c r="G100" s="1278"/>
      <c r="H100" s="1278"/>
      <c r="I100" s="1278"/>
    </row>
    <row r="101" spans="5:9" x14ac:dyDescent="0.2">
      <c r="E101" s="1278"/>
      <c r="F101" s="1278"/>
      <c r="G101" s="1278"/>
      <c r="H101" s="1278"/>
      <c r="I101" s="1278"/>
    </row>
    <row r="102" spans="5:9" x14ac:dyDescent="0.2">
      <c r="E102" s="1278"/>
      <c r="F102" s="1278"/>
      <c r="G102" s="1278"/>
      <c r="H102" s="1278"/>
      <c r="I102" s="1278"/>
    </row>
    <row r="103" spans="5:9" x14ac:dyDescent="0.2">
      <c r="E103" s="1278"/>
      <c r="F103" s="1278"/>
      <c r="G103" s="1278"/>
      <c r="H103" s="1278"/>
      <c r="I103" s="1278"/>
    </row>
    <row r="104" spans="5:9" x14ac:dyDescent="0.2">
      <c r="E104" s="1278"/>
      <c r="F104" s="1278"/>
      <c r="G104" s="1278"/>
      <c r="H104" s="1278"/>
      <c r="I104" s="1278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rotectedRanges>
    <protectedRange sqref="B52" name="Диапазон2_2"/>
    <protectedRange sqref="A36:A44" name="Диапазон1_2"/>
    <protectedRange sqref="B95" name="Диапазон2_3"/>
    <protectedRange sqref="A80:A88" name="Диапазон1_3"/>
  </protectedRanges>
  <customSheetViews>
    <customSheetView guid="{A25B6F15-9B48-4230-9C30-183637D1319E}" scale="115" showGridLines="0">
      <selection activeCell="J8" sqref="J8"/>
      <pageMargins left="0.75" right="0.75" top="1" bottom="1" header="0.5" footer="0.5"/>
      <pageSetup paperSize="9" orientation="portrait" r:id="rId1"/>
      <headerFooter alignWithMargins="0"/>
    </customSheetView>
  </customSheetViews>
  <mergeCells count="34">
    <mergeCell ref="E91:I104"/>
    <mergeCell ref="E47:I60"/>
    <mergeCell ref="E61:I74"/>
    <mergeCell ref="A75:I75"/>
    <mergeCell ref="A77:A79"/>
    <mergeCell ref="B77:C77"/>
    <mergeCell ref="D77:E77"/>
    <mergeCell ref="F77:G77"/>
    <mergeCell ref="H77:I77"/>
    <mergeCell ref="B79:C79"/>
    <mergeCell ref="D79:E79"/>
    <mergeCell ref="F79:G79"/>
    <mergeCell ref="H79:I79"/>
    <mergeCell ref="A31:I31"/>
    <mergeCell ref="A33:A35"/>
    <mergeCell ref="B33:C33"/>
    <mergeCell ref="D33:E33"/>
    <mergeCell ref="F33:G33"/>
    <mergeCell ref="H33:I33"/>
    <mergeCell ref="B35:C35"/>
    <mergeCell ref="D35:E35"/>
    <mergeCell ref="F35:G35"/>
    <mergeCell ref="H35:I35"/>
    <mergeCell ref="E17:I30"/>
    <mergeCell ref="A1:I1"/>
    <mergeCell ref="A3:A5"/>
    <mergeCell ref="B3:C3"/>
    <mergeCell ref="D3:E3"/>
    <mergeCell ref="F3:G3"/>
    <mergeCell ref="H3:I3"/>
    <mergeCell ref="B5:C5"/>
    <mergeCell ref="D5:E5"/>
    <mergeCell ref="F5:G5"/>
    <mergeCell ref="H5:I5"/>
  </mergeCells>
  <hyperlinks>
    <hyperlink ref="J1" location="Содержание!R1C1" display="← СОДЕРЖАНИЕ:" xr:uid="{00000000-0004-0000-0F00-000000000000}"/>
  </hyperlinks>
  <pageMargins left="0.75" right="0.75" top="1" bottom="1" header="0.5" footer="0.5"/>
  <pageSetup paperSize="9" orientation="portrait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4">
    <tabColor rgb="FFFF6600"/>
  </sheetPr>
  <dimension ref="A1:J36"/>
  <sheetViews>
    <sheetView showGridLines="0" workbookViewId="0">
      <selection activeCell="O15" sqref="O15"/>
    </sheetView>
  </sheetViews>
  <sheetFormatPr defaultColWidth="9.140625" defaultRowHeight="15" x14ac:dyDescent="0.25"/>
  <cols>
    <col min="1" max="1" width="28.42578125" style="353" customWidth="1"/>
    <col min="2" max="2" width="19.7109375" style="353" customWidth="1"/>
    <col min="3" max="3" width="17.28515625" style="353" customWidth="1"/>
    <col min="4" max="5" width="17.5703125" style="353" customWidth="1"/>
    <col min="6" max="6" width="15.140625" style="353" customWidth="1"/>
    <col min="7" max="7" width="12" style="353" customWidth="1"/>
    <col min="8" max="9" width="22.42578125" style="353" customWidth="1"/>
    <col min="10" max="10" width="18.85546875" style="353" customWidth="1"/>
    <col min="11" max="16384" width="9.140625" style="353"/>
  </cols>
  <sheetData>
    <row r="1" spans="1:10" ht="62.25" customHeight="1" thickBot="1" x14ac:dyDescent="0.3">
      <c r="A1" s="374" t="s">
        <v>322</v>
      </c>
      <c r="B1" s="375" t="s">
        <v>324</v>
      </c>
      <c r="C1" s="375" t="s">
        <v>313</v>
      </c>
      <c r="D1" s="375" t="s">
        <v>314</v>
      </c>
      <c r="E1" s="375" t="s">
        <v>315</v>
      </c>
      <c r="F1" s="375" t="s">
        <v>316</v>
      </c>
      <c r="G1" s="375" t="s">
        <v>317</v>
      </c>
      <c r="H1" s="375" t="s">
        <v>325</v>
      </c>
      <c r="I1" s="375" t="s">
        <v>326</v>
      </c>
      <c r="J1" s="373" t="s">
        <v>295</v>
      </c>
    </row>
    <row r="2" spans="1:10" ht="45" customHeight="1" x14ac:dyDescent="0.25">
      <c r="A2" s="354" t="s">
        <v>230</v>
      </c>
      <c r="B2" s="376">
        <v>564</v>
      </c>
      <c r="C2" s="376">
        <v>500</v>
      </c>
      <c r="D2" s="355">
        <v>69</v>
      </c>
      <c r="E2" s="355">
        <f>B2-87</f>
        <v>477</v>
      </c>
      <c r="F2" s="356">
        <f>B2-75</f>
        <v>489</v>
      </c>
      <c r="G2" s="356">
        <f>C2-25</f>
        <v>475</v>
      </c>
      <c r="H2" s="356">
        <f>B2-85</f>
        <v>479</v>
      </c>
      <c r="I2" s="359">
        <f>C2-25</f>
        <v>475</v>
      </c>
    </row>
    <row r="3" spans="1:10" ht="33.75" customHeight="1" x14ac:dyDescent="0.25">
      <c r="A3" s="354" t="s">
        <v>236</v>
      </c>
      <c r="B3" s="376">
        <v>564</v>
      </c>
      <c r="C3" s="376">
        <v>500</v>
      </c>
      <c r="D3" s="355">
        <v>84</v>
      </c>
      <c r="E3" s="355">
        <f t="shared" ref="E3:E7" si="0">B3-87</f>
        <v>477</v>
      </c>
      <c r="F3" s="356">
        <f t="shared" ref="F3:F7" si="1">B3-75</f>
        <v>489</v>
      </c>
      <c r="G3" s="356">
        <f t="shared" ref="G3:G7" si="2">C3-25</f>
        <v>475</v>
      </c>
      <c r="H3" s="356">
        <f t="shared" ref="H3:H7" si="3">B3-85</f>
        <v>479</v>
      </c>
      <c r="I3" s="359">
        <f t="shared" ref="I3:I7" si="4">C3-25</f>
        <v>475</v>
      </c>
    </row>
    <row r="4" spans="1:10" ht="39.75" customHeight="1" x14ac:dyDescent="0.25">
      <c r="A4" s="354" t="s">
        <v>225</v>
      </c>
      <c r="B4" s="376">
        <v>564</v>
      </c>
      <c r="C4" s="376">
        <v>500</v>
      </c>
      <c r="D4" s="355">
        <v>116</v>
      </c>
      <c r="E4" s="355">
        <f t="shared" si="0"/>
        <v>477</v>
      </c>
      <c r="F4" s="356">
        <f t="shared" si="1"/>
        <v>489</v>
      </c>
      <c r="G4" s="356">
        <f t="shared" si="2"/>
        <v>475</v>
      </c>
      <c r="H4" s="356">
        <f t="shared" si="3"/>
        <v>479</v>
      </c>
      <c r="I4" s="359">
        <f t="shared" si="4"/>
        <v>475</v>
      </c>
    </row>
    <row r="5" spans="1:10" ht="35.25" customHeight="1" x14ac:dyDescent="0.25">
      <c r="A5" s="354" t="s">
        <v>318</v>
      </c>
      <c r="B5" s="376">
        <v>564</v>
      </c>
      <c r="C5" s="376">
        <v>500</v>
      </c>
      <c r="D5" s="355">
        <v>135</v>
      </c>
      <c r="E5" s="355">
        <f t="shared" si="0"/>
        <v>477</v>
      </c>
      <c r="F5" s="356">
        <f t="shared" si="1"/>
        <v>489</v>
      </c>
      <c r="G5" s="356">
        <f t="shared" si="2"/>
        <v>475</v>
      </c>
      <c r="H5" s="356">
        <f t="shared" si="3"/>
        <v>479</v>
      </c>
      <c r="I5" s="359">
        <f t="shared" si="4"/>
        <v>475</v>
      </c>
    </row>
    <row r="6" spans="1:10" ht="36.75" customHeight="1" x14ac:dyDescent="0.25">
      <c r="A6" s="354" t="s">
        <v>221</v>
      </c>
      <c r="B6" s="376">
        <v>564</v>
      </c>
      <c r="C6" s="376">
        <v>500</v>
      </c>
      <c r="D6" s="355">
        <v>167</v>
      </c>
      <c r="E6" s="355">
        <f t="shared" si="0"/>
        <v>477</v>
      </c>
      <c r="F6" s="356">
        <f t="shared" si="1"/>
        <v>489</v>
      </c>
      <c r="G6" s="356">
        <f t="shared" si="2"/>
        <v>475</v>
      </c>
      <c r="H6" s="356">
        <f t="shared" si="3"/>
        <v>479</v>
      </c>
      <c r="I6" s="359">
        <f t="shared" si="4"/>
        <v>475</v>
      </c>
    </row>
    <row r="7" spans="1:10" ht="42" customHeight="1" x14ac:dyDescent="0.25">
      <c r="A7" s="354" t="s">
        <v>319</v>
      </c>
      <c r="B7" s="376">
        <v>564</v>
      </c>
      <c r="C7" s="376">
        <v>500</v>
      </c>
      <c r="D7" s="355">
        <v>199</v>
      </c>
      <c r="E7" s="355">
        <f t="shared" si="0"/>
        <v>477</v>
      </c>
      <c r="F7" s="356">
        <f t="shared" si="1"/>
        <v>489</v>
      </c>
      <c r="G7" s="356">
        <f t="shared" si="2"/>
        <v>475</v>
      </c>
      <c r="H7" s="356">
        <f t="shared" si="3"/>
        <v>479</v>
      </c>
      <c r="I7" s="359">
        <f t="shared" si="4"/>
        <v>475</v>
      </c>
    </row>
    <row r="9" spans="1:10" ht="20.25" thickBot="1" x14ac:dyDescent="0.3">
      <c r="A9" s="357" t="s">
        <v>320</v>
      </c>
    </row>
    <row r="10" spans="1:10" x14ac:dyDescent="0.25">
      <c r="A10" s="377"/>
      <c r="B10" s="381"/>
      <c r="C10" s="381"/>
      <c r="D10" s="381"/>
      <c r="E10" s="381"/>
      <c r="F10" s="381"/>
      <c r="G10" s="378"/>
      <c r="H10" s="1290"/>
      <c r="I10" s="1291"/>
    </row>
    <row r="11" spans="1:10" x14ac:dyDescent="0.25">
      <c r="A11" s="379"/>
      <c r="G11" s="380"/>
      <c r="H11" s="1292"/>
      <c r="I11" s="1293"/>
    </row>
    <row r="12" spans="1:10" x14ac:dyDescent="0.25">
      <c r="A12" s="379"/>
      <c r="G12" s="380"/>
      <c r="H12" s="1292"/>
      <c r="I12" s="1293"/>
    </row>
    <row r="13" spans="1:10" x14ac:dyDescent="0.25">
      <c r="A13" s="379"/>
      <c r="G13" s="380"/>
      <c r="H13" s="1292"/>
      <c r="I13" s="1293"/>
    </row>
    <row r="14" spans="1:10" x14ac:dyDescent="0.25">
      <c r="A14" s="379"/>
      <c r="G14" s="380"/>
      <c r="H14" s="1292"/>
      <c r="I14" s="1293"/>
    </row>
    <row r="15" spans="1:10" x14ac:dyDescent="0.25">
      <c r="A15" s="379"/>
      <c r="G15" s="380"/>
      <c r="H15" s="1292"/>
      <c r="I15" s="1293"/>
    </row>
    <row r="16" spans="1:10" x14ac:dyDescent="0.25">
      <c r="A16" s="379"/>
      <c r="G16" s="380"/>
      <c r="H16" s="1292"/>
      <c r="I16" s="1293"/>
    </row>
    <row r="17" spans="1:9" x14ac:dyDescent="0.25">
      <c r="A17" s="379"/>
      <c r="G17" s="380"/>
      <c r="H17" s="1292"/>
      <c r="I17" s="1293"/>
    </row>
    <row r="18" spans="1:9" x14ac:dyDescent="0.25">
      <c r="A18" s="379"/>
      <c r="G18" s="380"/>
      <c r="H18" s="1292"/>
      <c r="I18" s="1293"/>
    </row>
    <row r="19" spans="1:9" x14ac:dyDescent="0.25">
      <c r="A19" s="379"/>
      <c r="G19" s="380"/>
      <c r="H19" s="1292"/>
      <c r="I19" s="1293"/>
    </row>
    <row r="20" spans="1:9" ht="15.75" thickBot="1" x14ac:dyDescent="0.3">
      <c r="A20" s="379"/>
      <c r="G20" s="380"/>
      <c r="H20" s="1294"/>
      <c r="I20" s="1295"/>
    </row>
    <row r="21" spans="1:9" x14ac:dyDescent="0.25">
      <c r="A21" s="379"/>
      <c r="G21" s="380"/>
      <c r="H21" s="1284" t="s">
        <v>332</v>
      </c>
      <c r="I21" s="1285"/>
    </row>
    <row r="22" spans="1:9" x14ac:dyDescent="0.25">
      <c r="A22" s="379"/>
      <c r="G22" s="380"/>
      <c r="H22" s="1286"/>
      <c r="I22" s="1287"/>
    </row>
    <row r="23" spans="1:9" x14ac:dyDescent="0.25">
      <c r="A23" s="379"/>
      <c r="G23" s="380"/>
      <c r="H23" s="1286"/>
      <c r="I23" s="1287"/>
    </row>
    <row r="24" spans="1:9" x14ac:dyDescent="0.25">
      <c r="A24" s="379"/>
      <c r="G24" s="380"/>
      <c r="H24" s="1286"/>
      <c r="I24" s="1287"/>
    </row>
    <row r="25" spans="1:9" x14ac:dyDescent="0.25">
      <c r="A25" s="379"/>
      <c r="G25" s="380"/>
      <c r="H25" s="1286"/>
      <c r="I25" s="1287"/>
    </row>
    <row r="26" spans="1:9" x14ac:dyDescent="0.25">
      <c r="A26" s="379"/>
      <c r="G26" s="380"/>
      <c r="H26" s="1286"/>
      <c r="I26" s="1287"/>
    </row>
    <row r="27" spans="1:9" x14ac:dyDescent="0.25">
      <c r="A27" s="379"/>
      <c r="G27" s="380"/>
      <c r="H27" s="1286"/>
      <c r="I27" s="1287"/>
    </row>
    <row r="28" spans="1:9" x14ac:dyDescent="0.25">
      <c r="A28" s="379"/>
      <c r="G28" s="380"/>
      <c r="H28" s="1286"/>
      <c r="I28" s="1287"/>
    </row>
    <row r="29" spans="1:9" x14ac:dyDescent="0.25">
      <c r="A29" s="379"/>
      <c r="G29" s="380"/>
      <c r="H29" s="1286"/>
      <c r="I29" s="1287"/>
    </row>
    <row r="30" spans="1:9" x14ac:dyDescent="0.25">
      <c r="A30" s="379"/>
      <c r="G30" s="380"/>
      <c r="H30" s="1286"/>
      <c r="I30" s="1287"/>
    </row>
    <row r="31" spans="1:9" x14ac:dyDescent="0.25">
      <c r="A31" s="379"/>
      <c r="G31" s="380"/>
      <c r="H31" s="1286"/>
      <c r="I31" s="1287"/>
    </row>
    <row r="32" spans="1:9" x14ac:dyDescent="0.25">
      <c r="A32" s="379"/>
      <c r="G32" s="380"/>
      <c r="H32" s="1286"/>
      <c r="I32" s="1287"/>
    </row>
    <row r="33" spans="1:9" x14ac:dyDescent="0.25">
      <c r="A33" s="379"/>
      <c r="G33" s="380"/>
      <c r="H33" s="1286"/>
      <c r="I33" s="1287"/>
    </row>
    <row r="34" spans="1:9" x14ac:dyDescent="0.25">
      <c r="A34" s="379"/>
      <c r="G34" s="380"/>
      <c r="H34" s="1286"/>
      <c r="I34" s="1287"/>
    </row>
    <row r="35" spans="1:9" x14ac:dyDescent="0.25">
      <c r="A35" s="379"/>
      <c r="G35" s="380"/>
      <c r="H35" s="1286"/>
      <c r="I35" s="1287"/>
    </row>
    <row r="36" spans="1:9" ht="15.75" thickBot="1" x14ac:dyDescent="0.3">
      <c r="A36" s="382"/>
      <c r="B36" s="383"/>
      <c r="C36" s="383"/>
      <c r="D36" s="383"/>
      <c r="E36" s="383"/>
      <c r="F36" s="383"/>
      <c r="G36" s="384"/>
      <c r="H36" s="1288"/>
      <c r="I36" s="1289"/>
    </row>
  </sheetData>
  <sheetProtection algorithmName="SHA-512" hashValue="lEgr5y7XMCe3jk4Ztcw0TbYp5wwHJdbuWkrqLlSce/dPZOt+Tb8HgiwnzLpM5eQMGWEJE5lb0bpzMR/maS2LTA==" saltValue="CRfbJwRRp5xttOU5Wuh47g==" spinCount="100000" sheet="1" formatCells="0" formatColumns="0" formatRows="0" insertColumns="0" insertRows="0" insertHyperlinks="0" deleteColumns="0" deleteRows="0" sort="0" autoFilter="0" pivotTables="0"/>
  <mergeCells count="2">
    <mergeCell ref="H21:I36"/>
    <mergeCell ref="H10:I20"/>
  </mergeCells>
  <hyperlinks>
    <hyperlink ref="J1" location="Содержание!R1C1" display="← СОДЕРЖАНИЕ:" xr:uid="{00000000-0004-0000-1000-000000000000}"/>
  </hyperlink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5">
    <tabColor rgb="FFFF860D"/>
  </sheetPr>
  <dimension ref="A1:K33"/>
  <sheetViews>
    <sheetView showGridLines="0" topLeftCell="D1" zoomScaleNormal="100" workbookViewId="0">
      <selection activeCell="O15" sqref="O15"/>
    </sheetView>
  </sheetViews>
  <sheetFormatPr defaultColWidth="9.140625" defaultRowHeight="15" x14ac:dyDescent="0.25"/>
  <cols>
    <col min="1" max="1" width="28.42578125" style="353" customWidth="1"/>
    <col min="2" max="2" width="17.85546875" style="353" customWidth="1"/>
    <col min="3" max="3" width="16.5703125" style="353" customWidth="1"/>
    <col min="4" max="4" width="22.42578125" style="353" customWidth="1"/>
    <col min="5" max="5" width="17.7109375" style="353" customWidth="1"/>
    <col min="6" max="6" width="13.140625" style="353" customWidth="1"/>
    <col min="7" max="7" width="14.85546875" style="353" customWidth="1"/>
    <col min="8" max="8" width="22.42578125" style="353" customWidth="1"/>
    <col min="9" max="9" width="22.5703125" style="353" customWidth="1"/>
    <col min="10" max="10" width="23.7109375" style="353" customWidth="1"/>
    <col min="11" max="11" width="16.42578125" style="353" customWidth="1"/>
    <col min="12" max="16384" width="9.140625" style="353"/>
  </cols>
  <sheetData>
    <row r="1" spans="1:11" ht="60.75" customHeight="1" thickBot="1" x14ac:dyDescent="0.3">
      <c r="A1" s="374" t="s">
        <v>321</v>
      </c>
      <c r="B1" s="375" t="s">
        <v>324</v>
      </c>
      <c r="C1" s="375" t="s">
        <v>313</v>
      </c>
      <c r="D1" s="375" t="s">
        <v>314</v>
      </c>
      <c r="E1" s="375" t="s">
        <v>315</v>
      </c>
      <c r="F1" s="375" t="s">
        <v>316</v>
      </c>
      <c r="G1" s="375" t="s">
        <v>317</v>
      </c>
      <c r="H1" s="375" t="s">
        <v>327</v>
      </c>
      <c r="I1" s="375" t="s">
        <v>328</v>
      </c>
      <c r="J1" s="375" t="s">
        <v>329</v>
      </c>
      <c r="K1" s="373" t="s">
        <v>295</v>
      </c>
    </row>
    <row r="2" spans="1:11" ht="45" customHeight="1" x14ac:dyDescent="0.25">
      <c r="A2" s="354" t="s">
        <v>230</v>
      </c>
      <c r="B2" s="385">
        <v>564</v>
      </c>
      <c r="C2" s="385">
        <v>500</v>
      </c>
      <c r="D2" s="358">
        <v>39</v>
      </c>
      <c r="E2" s="358">
        <f>B2-38</f>
        <v>526</v>
      </c>
      <c r="F2" s="359">
        <f>B2-35</f>
        <v>529</v>
      </c>
      <c r="G2" s="359">
        <f>C2-10</f>
        <v>490</v>
      </c>
      <c r="H2" s="359">
        <f>B2-43</f>
        <v>521</v>
      </c>
      <c r="I2" s="359">
        <f>C2-27</f>
        <v>473</v>
      </c>
      <c r="J2" s="359">
        <f>C2-40</f>
        <v>460</v>
      </c>
    </row>
    <row r="3" spans="1:11" ht="33.75" customHeight="1" x14ac:dyDescent="0.25">
      <c r="A3" s="354" t="s">
        <v>236</v>
      </c>
      <c r="B3" s="385">
        <v>564</v>
      </c>
      <c r="C3" s="385">
        <v>500</v>
      </c>
      <c r="D3" s="358">
        <v>63</v>
      </c>
      <c r="E3" s="358">
        <f t="shared" ref="E3:E6" si="0">B3-38</f>
        <v>526</v>
      </c>
      <c r="F3" s="359">
        <f t="shared" ref="F3:F6" si="1">B3-35</f>
        <v>529</v>
      </c>
      <c r="G3" s="359">
        <f t="shared" ref="G3:G6" si="2">C3-10</f>
        <v>490</v>
      </c>
      <c r="H3" s="359">
        <f t="shared" ref="H3:H6" si="3">B3-43</f>
        <v>521</v>
      </c>
      <c r="I3" s="359">
        <f t="shared" ref="I3:I6" si="4">C3-27</f>
        <v>473</v>
      </c>
      <c r="J3" s="359">
        <f t="shared" ref="J3:J6" si="5">C3-40</f>
        <v>460</v>
      </c>
    </row>
    <row r="4" spans="1:11" ht="39.75" customHeight="1" x14ac:dyDescent="0.25">
      <c r="A4" s="354" t="s">
        <v>225</v>
      </c>
      <c r="B4" s="385">
        <v>564</v>
      </c>
      <c r="C4" s="385">
        <v>500</v>
      </c>
      <c r="D4" s="358">
        <v>101</v>
      </c>
      <c r="E4" s="358">
        <f t="shared" si="0"/>
        <v>526</v>
      </c>
      <c r="F4" s="359">
        <f t="shared" si="1"/>
        <v>529</v>
      </c>
      <c r="G4" s="359">
        <f t="shared" si="2"/>
        <v>490</v>
      </c>
      <c r="H4" s="359">
        <f t="shared" si="3"/>
        <v>521</v>
      </c>
      <c r="I4" s="359">
        <f t="shared" si="4"/>
        <v>473</v>
      </c>
      <c r="J4" s="359">
        <f t="shared" si="5"/>
        <v>460</v>
      </c>
    </row>
    <row r="5" spans="1:11" ht="35.25" customHeight="1" x14ac:dyDescent="0.25">
      <c r="A5" s="354" t="s">
        <v>221</v>
      </c>
      <c r="B5" s="385">
        <v>564</v>
      </c>
      <c r="C5" s="385">
        <v>500</v>
      </c>
      <c r="D5" s="358">
        <v>148</v>
      </c>
      <c r="E5" s="358">
        <f t="shared" si="0"/>
        <v>526</v>
      </c>
      <c r="F5" s="359">
        <f t="shared" si="1"/>
        <v>529</v>
      </c>
      <c r="G5" s="359">
        <f t="shared" si="2"/>
        <v>490</v>
      </c>
      <c r="H5" s="359">
        <f t="shared" si="3"/>
        <v>521</v>
      </c>
      <c r="I5" s="359">
        <f t="shared" si="4"/>
        <v>473</v>
      </c>
      <c r="J5" s="359">
        <f t="shared" si="5"/>
        <v>460</v>
      </c>
    </row>
    <row r="6" spans="1:11" ht="36.75" customHeight="1" x14ac:dyDescent="0.25">
      <c r="A6" s="354" t="s">
        <v>217</v>
      </c>
      <c r="B6" s="385">
        <v>564</v>
      </c>
      <c r="C6" s="385">
        <v>500</v>
      </c>
      <c r="D6" s="358">
        <v>212</v>
      </c>
      <c r="E6" s="358">
        <f t="shared" si="0"/>
        <v>526</v>
      </c>
      <c r="F6" s="359">
        <f t="shared" si="1"/>
        <v>529</v>
      </c>
      <c r="G6" s="359">
        <f t="shared" si="2"/>
        <v>490</v>
      </c>
      <c r="H6" s="359">
        <f t="shared" si="3"/>
        <v>521</v>
      </c>
      <c r="I6" s="359">
        <f t="shared" si="4"/>
        <v>473</v>
      </c>
      <c r="J6" s="359">
        <f t="shared" si="5"/>
        <v>460</v>
      </c>
    </row>
    <row r="7" spans="1:11" ht="15.75" thickBot="1" x14ac:dyDescent="0.3"/>
    <row r="8" spans="1:11" x14ac:dyDescent="0.25">
      <c r="A8" s="377"/>
      <c r="B8" s="381"/>
      <c r="C8" s="381"/>
      <c r="D8" s="381"/>
      <c r="E8" s="381"/>
      <c r="F8" s="381"/>
      <c r="G8" s="378"/>
      <c r="H8" s="1302"/>
      <c r="I8" s="1303"/>
      <c r="J8" s="1308"/>
    </row>
    <row r="9" spans="1:11" x14ac:dyDescent="0.25">
      <c r="A9" s="379"/>
      <c r="G9" s="380"/>
      <c r="H9" s="1304"/>
      <c r="I9" s="1305"/>
      <c r="J9" s="1309"/>
    </row>
    <row r="10" spans="1:11" x14ac:dyDescent="0.25">
      <c r="A10" s="379"/>
      <c r="G10" s="380"/>
      <c r="H10" s="1304"/>
      <c r="I10" s="1305"/>
      <c r="J10" s="1309"/>
    </row>
    <row r="11" spans="1:11" x14ac:dyDescent="0.25">
      <c r="A11" s="379"/>
      <c r="G11" s="380"/>
      <c r="H11" s="1304"/>
      <c r="I11" s="1305"/>
      <c r="J11" s="1309"/>
    </row>
    <row r="12" spans="1:11" x14ac:dyDescent="0.25">
      <c r="A12" s="379"/>
      <c r="G12" s="380"/>
      <c r="H12" s="1304"/>
      <c r="I12" s="1305"/>
      <c r="J12" s="1309"/>
    </row>
    <row r="13" spans="1:11" ht="15.75" thickBot="1" x14ac:dyDescent="0.3">
      <c r="A13" s="379"/>
      <c r="G13" s="380"/>
      <c r="H13" s="1306"/>
      <c r="I13" s="1307"/>
      <c r="J13" s="1310"/>
    </row>
    <row r="14" spans="1:11" x14ac:dyDescent="0.25">
      <c r="A14" s="379"/>
      <c r="G14" s="380"/>
      <c r="H14" s="1296" t="s">
        <v>330</v>
      </c>
      <c r="I14" s="1285"/>
      <c r="J14" s="1299" t="s">
        <v>331</v>
      </c>
    </row>
    <row r="15" spans="1:11" x14ac:dyDescent="0.25">
      <c r="A15" s="379"/>
      <c r="G15" s="380"/>
      <c r="H15" s="1297"/>
      <c r="I15" s="1287"/>
      <c r="J15" s="1300"/>
    </row>
    <row r="16" spans="1:11" x14ac:dyDescent="0.25">
      <c r="A16" s="379"/>
      <c r="G16" s="380"/>
      <c r="H16" s="1297"/>
      <c r="I16" s="1287"/>
      <c r="J16" s="1300"/>
    </row>
    <row r="17" spans="1:10" ht="15" customHeight="1" x14ac:dyDescent="0.25">
      <c r="A17" s="379"/>
      <c r="G17" s="380"/>
      <c r="H17" s="1297"/>
      <c r="I17" s="1287"/>
      <c r="J17" s="1300"/>
    </row>
    <row r="18" spans="1:10" x14ac:dyDescent="0.25">
      <c r="A18" s="379"/>
      <c r="G18" s="380"/>
      <c r="H18" s="1297"/>
      <c r="I18" s="1287"/>
      <c r="J18" s="1300"/>
    </row>
    <row r="19" spans="1:10" x14ac:dyDescent="0.25">
      <c r="A19" s="379"/>
      <c r="G19" s="380"/>
      <c r="H19" s="1297"/>
      <c r="I19" s="1287"/>
      <c r="J19" s="1300"/>
    </row>
    <row r="20" spans="1:10" x14ac:dyDescent="0.25">
      <c r="A20" s="379"/>
      <c r="G20" s="380"/>
      <c r="H20" s="1297"/>
      <c r="I20" s="1287"/>
      <c r="J20" s="1300"/>
    </row>
    <row r="21" spans="1:10" x14ac:dyDescent="0.25">
      <c r="A21" s="379"/>
      <c r="G21" s="380"/>
      <c r="H21" s="1297"/>
      <c r="I21" s="1287"/>
      <c r="J21" s="1300"/>
    </row>
    <row r="22" spans="1:10" ht="15.75" thickBot="1" x14ac:dyDescent="0.3">
      <c r="A22" s="379"/>
      <c r="G22" s="380"/>
      <c r="H22" s="1298"/>
      <c r="I22" s="1289"/>
      <c r="J22" s="1301"/>
    </row>
    <row r="23" spans="1:10" x14ac:dyDescent="0.25">
      <c r="A23" s="379"/>
      <c r="G23" s="380"/>
    </row>
    <row r="24" spans="1:10" x14ac:dyDescent="0.25">
      <c r="A24" s="379"/>
      <c r="G24" s="380"/>
    </row>
    <row r="25" spans="1:10" x14ac:dyDescent="0.25">
      <c r="A25" s="379"/>
      <c r="G25" s="380"/>
    </row>
    <row r="26" spans="1:10" x14ac:dyDescent="0.25">
      <c r="A26" s="379"/>
      <c r="G26" s="380"/>
    </row>
    <row r="27" spans="1:10" x14ac:dyDescent="0.25">
      <c r="A27" s="379"/>
      <c r="G27" s="380"/>
    </row>
    <row r="28" spans="1:10" x14ac:dyDescent="0.25">
      <c r="A28" s="379"/>
      <c r="G28" s="380"/>
    </row>
    <row r="29" spans="1:10" x14ac:dyDescent="0.25">
      <c r="A29" s="379"/>
      <c r="G29" s="380"/>
    </row>
    <row r="30" spans="1:10" x14ac:dyDescent="0.25">
      <c r="A30" s="379"/>
      <c r="G30" s="380"/>
    </row>
    <row r="31" spans="1:10" x14ac:dyDescent="0.25">
      <c r="A31" s="379"/>
      <c r="G31" s="380"/>
    </row>
    <row r="32" spans="1:10" x14ac:dyDescent="0.25">
      <c r="A32" s="379"/>
      <c r="G32" s="380"/>
    </row>
    <row r="33" spans="1:7" ht="15.75" thickBot="1" x14ac:dyDescent="0.3">
      <c r="A33" s="382"/>
      <c r="B33" s="383"/>
      <c r="C33" s="383"/>
      <c r="D33" s="383"/>
      <c r="E33" s="383"/>
      <c r="F33" s="383"/>
      <c r="G33" s="384"/>
    </row>
  </sheetData>
  <sheetProtection algorithmName="SHA-512" hashValue="Bf3ffXY/Dz9pmrCNz/ou0D6YLsvUUTDjLdTtLQzcT9FyZAbufO+ApmDVPNeGN6JLT+IT0zjev/2L7Ek4Bn5ycw==" saltValue="3pdH60iekR4sd2p1mTMqsg==" spinCount="100000" sheet="1" formatCells="0" formatColumns="0" formatRows="0" insertColumns="0" insertRows="0" insertHyperlinks="0" deleteColumns="0" deleteRows="0" sort="0" autoFilter="0" pivotTables="0"/>
  <mergeCells count="4">
    <mergeCell ref="H14:I22"/>
    <mergeCell ref="J14:J22"/>
    <mergeCell ref="H8:I13"/>
    <mergeCell ref="J8:J13"/>
  </mergeCells>
  <hyperlinks>
    <hyperlink ref="K1" location="Содержание!R1C1" display="← СОДЕРЖАНИЕ:" xr:uid="{00000000-0004-0000-1100-000000000000}"/>
  </hyperlinks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CFFCC"/>
  </sheetPr>
  <dimension ref="A1:G10"/>
  <sheetViews>
    <sheetView showGridLines="0" zoomScaleNormal="100" zoomScaleSheetLayoutView="100" workbookViewId="0">
      <selection activeCell="J4" sqref="J4"/>
    </sheetView>
  </sheetViews>
  <sheetFormatPr defaultColWidth="9.140625" defaultRowHeight="15" x14ac:dyDescent="0.25"/>
  <cols>
    <col min="1" max="1" width="9.140625" style="353"/>
    <col min="2" max="2" width="56.85546875" style="353" customWidth="1"/>
    <col min="3" max="3" width="33.85546875" style="353" customWidth="1"/>
    <col min="4" max="4" width="41.28515625" style="353" customWidth="1"/>
    <col min="5" max="5" width="41.7109375" style="353" customWidth="1"/>
    <col min="6" max="6" width="20.42578125" style="353" customWidth="1"/>
    <col min="7" max="7" width="22.85546875" style="353" customWidth="1"/>
    <col min="8" max="16384" width="9.140625" style="353"/>
  </cols>
  <sheetData>
    <row r="1" spans="1:7" ht="43.5" customHeight="1" thickBot="1" x14ac:dyDescent="0.3">
      <c r="A1" s="1314" t="s">
        <v>402</v>
      </c>
      <c r="B1" s="1315"/>
      <c r="C1" s="1315"/>
      <c r="D1" s="1315"/>
      <c r="E1" s="1315"/>
      <c r="F1" s="1316"/>
      <c r="G1" s="598" t="s">
        <v>295</v>
      </c>
    </row>
    <row r="2" spans="1:7" ht="111.75" customHeight="1" x14ac:dyDescent="0.25">
      <c r="A2" s="595"/>
      <c r="B2" s="595"/>
      <c r="C2" s="595"/>
      <c r="D2" s="603"/>
      <c r="E2" s="603"/>
      <c r="F2" s="1311" t="s">
        <v>393</v>
      </c>
    </row>
    <row r="3" spans="1:7" ht="54.75" customHeight="1" x14ac:dyDescent="0.25">
      <c r="A3" s="1313" t="s">
        <v>401</v>
      </c>
      <c r="B3" s="1313"/>
      <c r="C3" s="592" t="s">
        <v>394</v>
      </c>
      <c r="D3" s="604" t="s">
        <v>399</v>
      </c>
      <c r="E3" s="604" t="s">
        <v>395</v>
      </c>
      <c r="F3" s="1312"/>
    </row>
    <row r="4" spans="1:7" ht="60.75" customHeight="1" x14ac:dyDescent="0.25">
      <c r="A4" s="597">
        <v>1</v>
      </c>
      <c r="B4" s="593" t="s">
        <v>396</v>
      </c>
      <c r="C4" s="602">
        <v>600</v>
      </c>
      <c r="D4" s="594">
        <f>C4-36</f>
        <v>564</v>
      </c>
      <c r="E4" s="606">
        <f>1125/(D4-240)</f>
        <v>3.4722222222222223</v>
      </c>
      <c r="F4" s="605">
        <f>D4-240</f>
        <v>324</v>
      </c>
    </row>
    <row r="5" spans="1:7" ht="56.25" customHeight="1" x14ac:dyDescent="0.25">
      <c r="A5" s="597">
        <v>2</v>
      </c>
      <c r="B5" s="596" t="s">
        <v>397</v>
      </c>
      <c r="C5" s="602">
        <v>600</v>
      </c>
      <c r="D5" s="594">
        <f t="shared" ref="D5:D9" si="0">C5-36</f>
        <v>564</v>
      </c>
      <c r="E5" s="606">
        <f>1125/(D5-247)</f>
        <v>3.5488958990536279</v>
      </c>
      <c r="F5" s="605">
        <f>D5-247</f>
        <v>317</v>
      </c>
    </row>
    <row r="6" spans="1:7" ht="56.25" customHeight="1" x14ac:dyDescent="0.25">
      <c r="A6" s="597">
        <v>3</v>
      </c>
      <c r="B6" s="596" t="s">
        <v>398</v>
      </c>
      <c r="C6" s="602">
        <v>600</v>
      </c>
      <c r="D6" s="594">
        <f t="shared" ref="D6" si="1">C6-36</f>
        <v>564</v>
      </c>
      <c r="E6" s="606">
        <f>1125/(D6-267)</f>
        <v>3.7878787878787881</v>
      </c>
      <c r="F6" s="605">
        <f>D6-267</f>
        <v>297</v>
      </c>
    </row>
    <row r="7" spans="1:7" ht="57" customHeight="1" x14ac:dyDescent="0.25">
      <c r="A7" s="597">
        <v>4</v>
      </c>
      <c r="B7" s="596" t="s">
        <v>400</v>
      </c>
      <c r="C7" s="602">
        <v>600</v>
      </c>
      <c r="D7" s="594">
        <f t="shared" si="0"/>
        <v>564</v>
      </c>
      <c r="E7" s="606">
        <f>1125/(D7-267)</f>
        <v>3.7878787878787881</v>
      </c>
      <c r="F7" s="605">
        <f>D7-267</f>
        <v>297</v>
      </c>
    </row>
    <row r="8" spans="1:7" ht="92.25" customHeight="1" x14ac:dyDescent="0.25">
      <c r="A8" s="597">
        <v>5</v>
      </c>
      <c r="B8" s="608" t="s">
        <v>412</v>
      </c>
      <c r="C8" s="602">
        <v>1400</v>
      </c>
      <c r="D8" s="594">
        <f t="shared" si="0"/>
        <v>1364</v>
      </c>
      <c r="E8" s="606">
        <f>1089/(D8-284)</f>
        <v>1.0083333333333333</v>
      </c>
      <c r="F8" s="605">
        <f>D8-284</f>
        <v>1080</v>
      </c>
    </row>
    <row r="9" spans="1:7" ht="96.75" customHeight="1" x14ac:dyDescent="0.25">
      <c r="A9" s="597">
        <v>6</v>
      </c>
      <c r="B9" s="608" t="s">
        <v>411</v>
      </c>
      <c r="C9" s="602">
        <v>1200</v>
      </c>
      <c r="D9" s="594">
        <f t="shared" si="0"/>
        <v>1164</v>
      </c>
      <c r="E9" s="606">
        <f>889/(D9-284)</f>
        <v>1.0102272727272728</v>
      </c>
      <c r="F9" s="605">
        <f>D9-284</f>
        <v>880</v>
      </c>
    </row>
    <row r="10" spans="1:7" ht="90.75" x14ac:dyDescent="0.25">
      <c r="A10" s="597">
        <v>7</v>
      </c>
      <c r="B10" s="608" t="s">
        <v>413</v>
      </c>
      <c r="C10" s="602">
        <v>1200</v>
      </c>
      <c r="D10" s="594">
        <f>C10-36</f>
        <v>1164</v>
      </c>
      <c r="E10" s="606">
        <f>1140/(D10-39)</f>
        <v>1.0133333333333334</v>
      </c>
      <c r="F10" s="605">
        <f>D10-39</f>
        <v>1125</v>
      </c>
    </row>
  </sheetData>
  <sheetProtection algorithmName="SHA-512" hashValue="4LRprG1/04oj2Rl4bhHifEon7E+3GWkNzeksrjODaHtvj3w+20xuJGtk2jX0C/1i3KfwHOuv0X56cbQCXBAQFg==" saltValue="06+FGvNa1Ir8rmMCte2aWA==" spinCount="100000" sheet="1" formatCells="0" formatColumns="0" formatRows="0" insertColumns="0" insertRows="0" insertHyperlinks="0" deleteColumns="0" deleteRows="0" sort="0" autoFilter="0" pivotTables="0"/>
  <mergeCells count="3">
    <mergeCell ref="F2:F3"/>
    <mergeCell ref="A3:B3"/>
    <mergeCell ref="A1:F1"/>
  </mergeCells>
  <hyperlinks>
    <hyperlink ref="G1" location="Содержание!G1" display="← СОДЕРЖАНИЕ:" xr:uid="{00000000-0004-0000-1200-000000000000}"/>
  </hyperlink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S97"/>
  <sheetViews>
    <sheetView showGridLines="0" zoomScaleNormal="100" workbookViewId="0">
      <selection activeCell="L1" sqref="L1"/>
    </sheetView>
  </sheetViews>
  <sheetFormatPr defaultRowHeight="12.75" x14ac:dyDescent="0.2"/>
  <cols>
    <col min="1" max="1" width="32.42578125" customWidth="1"/>
    <col min="2" max="2" width="8.5703125" customWidth="1"/>
    <col min="3" max="4" width="9.42578125" customWidth="1"/>
    <col min="5" max="5" width="10.28515625" customWidth="1"/>
    <col min="6" max="6" width="11.7109375" style="3" customWidth="1"/>
    <col min="7" max="7" width="10.7109375" style="3" customWidth="1"/>
    <col min="8" max="8" width="14.28515625" style="4" customWidth="1"/>
    <col min="9" max="9" width="10.28515625" style="2" customWidth="1"/>
    <col min="10" max="10" width="41" customWidth="1"/>
    <col min="11" max="11" width="36.7109375" customWidth="1"/>
    <col min="12" max="12" width="24.140625" customWidth="1"/>
    <col min="13" max="13" width="4.42578125" customWidth="1"/>
    <col min="14" max="14" width="10.7109375" customWidth="1"/>
    <col min="17" max="17" width="9.140625" customWidth="1"/>
  </cols>
  <sheetData>
    <row r="1" spans="1:13" ht="47.25" customHeight="1" thickBot="1" x14ac:dyDescent="0.25">
      <c r="A1" s="790"/>
      <c r="B1" s="791"/>
      <c r="C1" s="791"/>
      <c r="D1" s="791"/>
      <c r="E1" s="791"/>
      <c r="F1" s="791"/>
      <c r="G1" s="791"/>
      <c r="H1" s="791"/>
      <c r="I1" s="791"/>
      <c r="J1" s="792"/>
      <c r="K1" s="793"/>
      <c r="L1" s="607" t="s">
        <v>295</v>
      </c>
    </row>
    <row r="2" spans="1:13" ht="16.5" hidden="1" customHeight="1" thickBot="1" x14ac:dyDescent="0.25">
      <c r="A2" s="91"/>
      <c r="B2" s="7"/>
      <c r="C2" s="7"/>
      <c r="D2" s="7"/>
      <c r="E2" s="7"/>
      <c r="F2" s="8"/>
      <c r="G2" s="8"/>
      <c r="H2" s="9"/>
      <c r="I2" s="10"/>
      <c r="K2" s="90"/>
    </row>
    <row r="3" spans="1:13" ht="13.5" customHeight="1" thickBot="1" x14ac:dyDescent="0.25">
      <c r="A3" s="794" t="s">
        <v>42</v>
      </c>
      <c r="B3" s="796" t="s">
        <v>13</v>
      </c>
      <c r="C3" s="769" t="s">
        <v>133</v>
      </c>
      <c r="D3" s="770"/>
      <c r="E3" s="800" t="s">
        <v>153</v>
      </c>
      <c r="F3" s="801"/>
      <c r="G3" s="802" t="s">
        <v>416</v>
      </c>
      <c r="H3" s="803"/>
      <c r="I3" s="803"/>
      <c r="J3" s="69"/>
      <c r="K3" s="90"/>
    </row>
    <row r="4" spans="1:13" ht="20.100000000000001" customHeight="1" thickBot="1" x14ac:dyDescent="0.3">
      <c r="A4" s="795"/>
      <c r="B4" s="797"/>
      <c r="C4" s="798"/>
      <c r="D4" s="799"/>
      <c r="E4" s="361" t="s">
        <v>16</v>
      </c>
      <c r="F4" s="87" t="s">
        <v>17</v>
      </c>
      <c r="G4" s="804"/>
      <c r="H4" s="803"/>
      <c r="I4" s="803"/>
      <c r="J4" s="69"/>
      <c r="K4" s="90"/>
      <c r="M4" s="453"/>
    </row>
    <row r="5" spans="1:13" ht="14.1" customHeight="1" x14ac:dyDescent="0.2">
      <c r="A5" s="805" t="s">
        <v>417</v>
      </c>
      <c r="B5" s="807" t="s">
        <v>415</v>
      </c>
      <c r="C5" s="809">
        <v>1</v>
      </c>
      <c r="D5" s="810"/>
      <c r="E5" s="82">
        <v>1350</v>
      </c>
      <c r="F5" s="83">
        <v>6750</v>
      </c>
      <c r="G5" s="804"/>
      <c r="H5" s="803"/>
      <c r="I5" s="803"/>
      <c r="J5" s="69"/>
      <c r="K5" s="90"/>
    </row>
    <row r="6" spans="1:13" ht="14.1" customHeight="1" x14ac:dyDescent="0.2">
      <c r="A6" s="806"/>
      <c r="B6" s="808"/>
      <c r="C6" s="809">
        <v>2</v>
      </c>
      <c r="D6" s="810"/>
      <c r="E6" s="82">
        <v>2700</v>
      </c>
      <c r="F6" s="83">
        <v>13500</v>
      </c>
      <c r="G6" s="804"/>
      <c r="H6" s="803"/>
      <c r="I6" s="803"/>
      <c r="J6" s="69"/>
      <c r="K6" s="90"/>
    </row>
    <row r="7" spans="1:13" ht="11.25" customHeight="1" x14ac:dyDescent="0.2">
      <c r="A7" s="811" t="s">
        <v>418</v>
      </c>
      <c r="B7" s="813" t="s">
        <v>419</v>
      </c>
      <c r="C7" s="809">
        <v>2</v>
      </c>
      <c r="D7" s="815"/>
      <c r="E7" s="82">
        <v>10000</v>
      </c>
      <c r="F7" s="83">
        <v>19300</v>
      </c>
      <c r="G7" s="804"/>
      <c r="H7" s="803"/>
      <c r="I7" s="803"/>
      <c r="J7" s="69"/>
      <c r="K7" s="92"/>
      <c r="L7" s="72"/>
    </row>
    <row r="8" spans="1:13" ht="14.25" customHeight="1" thickBot="1" x14ac:dyDescent="0.25">
      <c r="A8" s="812"/>
      <c r="B8" s="814"/>
      <c r="C8" s="816">
        <v>3</v>
      </c>
      <c r="D8" s="817"/>
      <c r="E8" s="85">
        <v>15000</v>
      </c>
      <c r="F8" s="86">
        <v>28950</v>
      </c>
      <c r="G8" s="804"/>
      <c r="H8" s="803"/>
      <c r="I8" s="803"/>
      <c r="J8" s="69"/>
      <c r="K8" s="92"/>
      <c r="L8" s="72"/>
    </row>
    <row r="9" spans="1:13" ht="63.75" customHeight="1" thickBot="1" x14ac:dyDescent="0.25">
      <c r="A9" s="616" t="s">
        <v>131</v>
      </c>
      <c r="B9" s="617" t="s">
        <v>13</v>
      </c>
      <c r="C9" s="769" t="s">
        <v>154</v>
      </c>
      <c r="D9" s="770"/>
      <c r="E9" s="780" t="s">
        <v>28</v>
      </c>
      <c r="F9" s="781"/>
      <c r="G9" s="804"/>
      <c r="H9" s="803"/>
      <c r="I9" s="803"/>
      <c r="J9" s="69"/>
      <c r="K9" s="93"/>
      <c r="L9" s="456"/>
    </row>
    <row r="10" spans="1:13" ht="14.1" customHeight="1" x14ac:dyDescent="0.2">
      <c r="A10" s="622" t="s">
        <v>420</v>
      </c>
      <c r="B10" s="623" t="s">
        <v>422</v>
      </c>
      <c r="C10" s="782">
        <v>2</v>
      </c>
      <c r="D10" s="783"/>
      <c r="E10" s="621">
        <v>480</v>
      </c>
      <c r="F10" s="618">
        <v>610</v>
      </c>
      <c r="G10" s="804"/>
      <c r="H10" s="803"/>
      <c r="I10" s="803"/>
      <c r="J10" s="69"/>
      <c r="K10" s="90"/>
      <c r="L10" s="454"/>
    </row>
    <row r="11" spans="1:13" ht="14.1" customHeight="1" x14ac:dyDescent="0.2">
      <c r="A11" s="624" t="s">
        <v>423</v>
      </c>
      <c r="B11" s="625" t="s">
        <v>421</v>
      </c>
      <c r="C11" s="784">
        <v>2</v>
      </c>
      <c r="D11" s="785"/>
      <c r="E11" s="82">
        <v>600</v>
      </c>
      <c r="F11" s="619">
        <v>910</v>
      </c>
      <c r="G11" s="804"/>
      <c r="H11" s="803"/>
      <c r="I11" s="803"/>
      <c r="J11" s="69"/>
      <c r="K11" s="90"/>
      <c r="L11" s="455"/>
    </row>
    <row r="12" spans="1:13" ht="14.1" customHeight="1" thickBot="1" x14ac:dyDescent="0.25">
      <c r="A12" s="626" t="s">
        <v>425</v>
      </c>
      <c r="B12" s="627" t="s">
        <v>424</v>
      </c>
      <c r="C12" s="786">
        <v>2</v>
      </c>
      <c r="D12" s="787"/>
      <c r="E12" s="84">
        <v>840</v>
      </c>
      <c r="F12" s="620">
        <v>1200</v>
      </c>
      <c r="G12" s="804"/>
      <c r="H12" s="803"/>
      <c r="I12" s="803"/>
      <c r="J12" s="69"/>
      <c r="K12" s="90"/>
    </row>
    <row r="13" spans="1:13" ht="14.1" customHeight="1" x14ac:dyDescent="0.2">
      <c r="A13" s="612"/>
      <c r="B13" s="613"/>
      <c r="C13" s="788"/>
      <c r="D13" s="789"/>
      <c r="E13" s="614"/>
      <c r="F13" s="615"/>
      <c r="G13" s="611"/>
      <c r="H13" s="611"/>
      <c r="I13" s="611"/>
      <c r="J13" s="69"/>
      <c r="K13" s="90"/>
    </row>
    <row r="14" spans="1:13" ht="18" customHeight="1" thickBot="1" x14ac:dyDescent="0.25">
      <c r="A14" s="766" t="s">
        <v>414</v>
      </c>
      <c r="B14" s="767"/>
      <c r="C14" s="767"/>
      <c r="D14" s="767"/>
      <c r="E14" s="767"/>
      <c r="F14" s="767"/>
      <c r="G14" s="767"/>
      <c r="H14" s="767"/>
      <c r="I14" s="767"/>
      <c r="J14" s="767"/>
      <c r="K14" s="768"/>
    </row>
    <row r="15" spans="1:13" ht="43.5" customHeight="1" thickBot="1" x14ac:dyDescent="0.3">
      <c r="A15" s="771" t="s">
        <v>125</v>
      </c>
      <c r="B15" s="772"/>
      <c r="C15" s="773"/>
      <c r="D15" s="410" t="s">
        <v>334</v>
      </c>
      <c r="E15" s="419" t="s">
        <v>15</v>
      </c>
      <c r="F15" s="420" t="s">
        <v>14</v>
      </c>
      <c r="G15" s="421" t="s">
        <v>182</v>
      </c>
      <c r="H15" s="422" t="s">
        <v>20</v>
      </c>
      <c r="I15" s="423" t="s">
        <v>18</v>
      </c>
      <c r="J15" s="361" t="s">
        <v>134</v>
      </c>
      <c r="K15" s="424" t="s">
        <v>131</v>
      </c>
    </row>
    <row r="16" spans="1:13" ht="24.95" customHeight="1" thickBot="1" x14ac:dyDescent="0.25">
      <c r="A16" s="774" t="s">
        <v>335</v>
      </c>
      <c r="B16" s="775"/>
      <c r="C16" s="776"/>
      <c r="D16" s="508">
        <v>19</v>
      </c>
      <c r="E16" s="408">
        <v>714</v>
      </c>
      <c r="F16" s="320">
        <v>930</v>
      </c>
      <c r="G16" s="320">
        <v>0</v>
      </c>
      <c r="H16" s="387">
        <f>(E16-6)/1000*(F16-4)/1000*D16/1000*680+(G16/1000)</f>
        <v>8.470455359999999</v>
      </c>
      <c r="I16" s="388">
        <f>H16*E16</f>
        <v>6047.9051270399996</v>
      </c>
      <c r="J16" s="425" t="str">
        <f>IF(I16&lt;2700,"очень лёгкий фасад, 1 силовой механизм AVENTOS HF top 25 (22F2501)",IF(I16&lt;12000,"2 силовых механизма AVENTOS HF top 25 (22F2501)",IF(I16&lt;19300,"2 силовых механизма AVENTOS HF top 28 (22F2801)",IF(I16&lt;28950,"3 силовых механизма AVENTOS HF top 28 (22F2801)",IF(I16&gt;28950,"очень тяжёлый фасад, недопустимая величина",)))))</f>
        <v>2 силовых механизма AVENTOS HF top 25 (22F2501)</v>
      </c>
      <c r="K16" s="426" t="str">
        <f>IF(E16&lt;480,"Недопустимо, минимальная высота 480 мм",IF(E16&lt;600,"Рычаг 32 (22F3201)",IF(E16&lt;900,"Рычаг 35 (22F3501)",IF(E16&lt;1201,"Рычаг 39 (22F3901)",IF(E16&gt;1200,"Недопустимо, максимальная высота 1200 мм",)))))</f>
        <v>Рычаг 35 (22F3501)</v>
      </c>
    </row>
    <row r="17" spans="1:19" ht="24.95" customHeight="1" thickBot="1" x14ac:dyDescent="0.25">
      <c r="A17" s="777" t="s">
        <v>336</v>
      </c>
      <c r="B17" s="778"/>
      <c r="C17" s="779"/>
      <c r="D17" s="418">
        <v>19</v>
      </c>
      <c r="E17" s="409">
        <v>900</v>
      </c>
      <c r="F17" s="321">
        <v>1890</v>
      </c>
      <c r="G17" s="321">
        <v>0</v>
      </c>
      <c r="H17" s="387">
        <f>(E17-6)/1000*(F17-4)/1000*D17/1000*760+(G17/1000)</f>
        <v>24.347052960000006</v>
      </c>
      <c r="I17" s="388">
        <f>H17*E17</f>
        <v>21912.347664000004</v>
      </c>
      <c r="J17" s="609" t="str">
        <f>IF(I17&lt;2700,"очень лёгкий фасад, 1 силовой механизм AVENTOS HF top 25 (22F2501)",IF(I17&lt;12000,"2 силовых механизма AVENTOS HF top 25 (22F2501)",IF(I17&lt;19300,"2 силовых механизма AVENTOS HF top 28 (22F2801)",IF(I17&lt;28950,"3 силовых механизма AVENTOS HF top 28 (22F2801)",IF(I17&gt;28950,"очень тяжёлый фасад, недопустимая величина",)))))</f>
        <v>3 силовых механизма AVENTOS HF top 28 (22F2801)</v>
      </c>
      <c r="K17" s="610" t="str">
        <f>IF(E17&lt;480,"Недопустимо, минимальная высота 480 мм",IF(E17&lt;600,"Рычаг 32 (22F3201)",IF(E17&lt;900,"Рычаг 35 (22F3501)",IF(E17&lt;1201,"Рычаг 39 (22F3901)",IF(E17&gt;1200,"Недопустимо, максимальная высота 1200 мм",)))))</f>
        <v>Рычаг 39 (22F3901)</v>
      </c>
    </row>
    <row r="18" spans="1:19" ht="24.95" customHeight="1" thickBot="1" x14ac:dyDescent="0.25">
      <c r="A18" s="753" t="s">
        <v>126</v>
      </c>
      <c r="B18" s="754"/>
      <c r="C18" s="754"/>
      <c r="D18" s="755"/>
      <c r="E18" s="408">
        <v>720</v>
      </c>
      <c r="F18" s="320">
        <v>1000</v>
      </c>
      <c r="G18" s="320">
        <v>0</v>
      </c>
      <c r="H18" s="80">
        <f>(E18-4)/1000*(F18-4)/1000*11.5+(G18/1000)</f>
        <v>8.2010640000000006</v>
      </c>
      <c r="I18" s="78">
        <f t="shared" ref="I18:I23" si="0">E18*(H18+0.6)</f>
        <v>6336.7660800000003</v>
      </c>
      <c r="J18" s="425" t="str">
        <f t="shared" ref="J18:J24" si="1">IF(I18&lt;2700,"очень лёгкий фасад, 1 силовой механизм AVENTOS HF top 25 (22F2501)",IF(I18&lt;12000,"2 силовых механизма AVENTOS HF top 25 (22F2501)",IF(I18&lt;19300,"2 силовых механизма AVENTOS HF top 28 (22F2801)",IF(I18&lt;28950,"3 силовых механизма AVENTOS HF top 28 (22F2801)",IF(I18&gt;28950,"очень тяжёлый фасад, недопустимая величина",)))))</f>
        <v>2 силовых механизма AVENTOS HF top 25 (22F2501)</v>
      </c>
      <c r="K18" s="426" t="str">
        <f t="shared" ref="K18:K24" si="2">IF(E18&lt;480,"Недопустимо, минимальная высота 480 мм",IF(E18&lt;600,"Рычаг 32 (22F3201)",IF(E18&lt;900,"Рычаг 35 (22F3501)",IF(E18&lt;1201,"Рычаг 39 (22F3901)",IF(E18&gt;1200,"Недопустимо, максимальная высота 1200 мм",)))))</f>
        <v>Рычаг 35 (22F3501)</v>
      </c>
    </row>
    <row r="19" spans="1:19" ht="24.95" customHeight="1" thickBot="1" x14ac:dyDescent="0.25">
      <c r="A19" s="756" t="s">
        <v>127</v>
      </c>
      <c r="B19" s="754"/>
      <c r="C19" s="754"/>
      <c r="D19" s="755"/>
      <c r="E19" s="409">
        <v>575</v>
      </c>
      <c r="F19" s="321">
        <v>1350</v>
      </c>
      <c r="G19" s="321">
        <v>340</v>
      </c>
      <c r="H19" s="79">
        <f>(E19-4)/1000*(F19-4)/1000*11.5+(G19/1000)</f>
        <v>9.178509</v>
      </c>
      <c r="I19" s="74">
        <f t="shared" si="0"/>
        <v>5622.6426750000001</v>
      </c>
      <c r="J19" s="609" t="str">
        <f t="shared" si="1"/>
        <v>2 силовых механизма AVENTOS HF top 25 (22F2501)</v>
      </c>
      <c r="K19" s="610" t="str">
        <f t="shared" si="2"/>
        <v>Рычаг 32 (22F3201)</v>
      </c>
      <c r="M19" s="457"/>
      <c r="N19" s="457"/>
      <c r="O19" s="457"/>
      <c r="P19" s="457"/>
      <c r="Q19" s="457"/>
      <c r="R19" s="457"/>
      <c r="S19" s="457"/>
    </row>
    <row r="20" spans="1:19" ht="24.95" customHeight="1" thickBot="1" x14ac:dyDescent="0.25">
      <c r="A20" s="753" t="s">
        <v>128</v>
      </c>
      <c r="B20" s="754"/>
      <c r="C20" s="754"/>
      <c r="D20" s="755"/>
      <c r="E20" s="408">
        <v>1200</v>
      </c>
      <c r="F20" s="320">
        <v>800</v>
      </c>
      <c r="G20" s="320">
        <v>0</v>
      </c>
      <c r="H20" s="80">
        <f>(E20-4)/1000*(F20-4)/1000*(11.5+15.5)/2+(G20/1000)</f>
        <v>12.852216</v>
      </c>
      <c r="I20" s="78">
        <f t="shared" si="0"/>
        <v>16142.6592</v>
      </c>
      <c r="J20" s="425" t="str">
        <f t="shared" si="1"/>
        <v>2 силовых механизма AVENTOS HF top 28 (22F2801)</v>
      </c>
      <c r="K20" s="426" t="str">
        <f t="shared" si="2"/>
        <v>Рычаг 39 (22F3901)</v>
      </c>
      <c r="M20" s="457"/>
      <c r="N20" s="458"/>
      <c r="O20" s="457"/>
      <c r="P20" s="457"/>
      <c r="Q20" s="457"/>
      <c r="R20" s="457"/>
      <c r="S20" s="457"/>
    </row>
    <row r="21" spans="1:19" ht="24.95" customHeight="1" thickBot="1" x14ac:dyDescent="0.25">
      <c r="A21" s="756" t="s">
        <v>129</v>
      </c>
      <c r="B21" s="754"/>
      <c r="C21" s="754"/>
      <c r="D21" s="755"/>
      <c r="E21" s="409">
        <v>800</v>
      </c>
      <c r="F21" s="321">
        <v>800</v>
      </c>
      <c r="G21" s="321">
        <v>0</v>
      </c>
      <c r="H21" s="79">
        <f>(E21-4)/1000*(F21-4)/1000*(11.5+12.5)/2+(G21/1000)</f>
        <v>7.6033919999999995</v>
      </c>
      <c r="I21" s="74">
        <f t="shared" si="0"/>
        <v>6562.7135999999991</v>
      </c>
      <c r="J21" s="609" t="str">
        <f t="shared" si="1"/>
        <v>2 силовых механизма AVENTOS HF top 25 (22F2501)</v>
      </c>
      <c r="K21" s="610" t="str">
        <f t="shared" si="2"/>
        <v>Рычаг 35 (22F3501)</v>
      </c>
      <c r="M21" s="457"/>
      <c r="N21" s="457"/>
      <c r="O21" s="457"/>
      <c r="P21" s="457"/>
      <c r="Q21" s="457"/>
      <c r="R21" s="457"/>
      <c r="S21" s="457"/>
    </row>
    <row r="22" spans="1:19" ht="24.95" customHeight="1" thickBot="1" x14ac:dyDescent="0.25">
      <c r="A22" s="753" t="s">
        <v>121</v>
      </c>
      <c r="B22" s="754"/>
      <c r="C22" s="754"/>
      <c r="D22" s="755"/>
      <c r="E22" s="408">
        <v>1200</v>
      </c>
      <c r="F22" s="320">
        <v>1200</v>
      </c>
      <c r="G22" s="320">
        <v>0</v>
      </c>
      <c r="H22" s="80">
        <f>(E22-4)/1000*(F22-4)/1000*8.8+(G22/1000)</f>
        <v>12.5876608</v>
      </c>
      <c r="I22" s="78">
        <f t="shared" si="0"/>
        <v>15825.19296</v>
      </c>
      <c r="J22" s="425" t="str">
        <f t="shared" si="1"/>
        <v>2 силовых механизма AVENTOS HF top 28 (22F2801)</v>
      </c>
      <c r="K22" s="426" t="str">
        <f t="shared" si="2"/>
        <v>Рычаг 39 (22F3901)</v>
      </c>
      <c r="M22" s="457"/>
      <c r="N22" s="457"/>
      <c r="O22" s="457"/>
      <c r="P22" s="457"/>
      <c r="Q22" s="457"/>
      <c r="R22" s="457"/>
      <c r="S22" s="457"/>
    </row>
    <row r="23" spans="1:19" ht="24.95" customHeight="1" thickBot="1" x14ac:dyDescent="0.25">
      <c r="A23" s="756" t="s">
        <v>122</v>
      </c>
      <c r="B23" s="754"/>
      <c r="C23" s="754"/>
      <c r="D23" s="755"/>
      <c r="E23" s="409">
        <v>600</v>
      </c>
      <c r="F23" s="321">
        <v>800</v>
      </c>
      <c r="G23" s="321">
        <v>0</v>
      </c>
      <c r="H23" s="81">
        <f>(E23-4)/1000*(F23-4)/1000*(12+15.5)/2+(G23/1000)</f>
        <v>6.5232200000000002</v>
      </c>
      <c r="I23" s="74">
        <f t="shared" si="0"/>
        <v>4273.9319999999998</v>
      </c>
      <c r="J23" s="609" t="str">
        <f t="shared" si="1"/>
        <v>2 силовых механизма AVENTOS HF top 25 (22F2501)</v>
      </c>
      <c r="K23" s="610" t="str">
        <f t="shared" si="2"/>
        <v>Рычаг 35 (22F3501)</v>
      </c>
      <c r="M23" s="457"/>
      <c r="N23" s="457"/>
      <c r="O23" s="457"/>
      <c r="P23" s="457"/>
      <c r="Q23" s="457"/>
      <c r="R23" s="457"/>
      <c r="S23" s="457"/>
    </row>
    <row r="24" spans="1:19" ht="25.5" customHeight="1" thickBot="1" x14ac:dyDescent="0.25">
      <c r="A24" s="759" t="s">
        <v>288</v>
      </c>
      <c r="B24" s="760"/>
      <c r="C24" s="760"/>
      <c r="D24" s="761"/>
      <c r="E24" s="408">
        <v>750</v>
      </c>
      <c r="F24" s="320">
        <v>1000</v>
      </c>
      <c r="G24" s="320">
        <v>0</v>
      </c>
      <c r="H24" s="301">
        <f>(E24-3)/1000*(F24)/1000*4*(2500/1000)+(E24-3)/1000*(F24)/1000*16*(680/1000)+(G24/1000)</f>
        <v>15.597360000000002</v>
      </c>
      <c r="I24" s="78">
        <f>E24*(H24+0.6)</f>
        <v>12148.020000000002</v>
      </c>
      <c r="J24" s="425" t="str">
        <f t="shared" si="1"/>
        <v>2 силовых механизма AVENTOS HF top 28 (22F2801)</v>
      </c>
      <c r="K24" s="426" t="str">
        <f t="shared" si="2"/>
        <v>Рычаг 35 (22F3501)</v>
      </c>
      <c r="M24" s="457"/>
      <c r="N24" s="457"/>
      <c r="O24" s="457"/>
      <c r="P24" s="457"/>
      <c r="Q24" s="457"/>
      <c r="R24" s="457"/>
      <c r="S24" s="457"/>
    </row>
    <row r="25" spans="1:19" ht="18.75" thickBot="1" x14ac:dyDescent="0.25">
      <c r="A25" s="762"/>
      <c r="B25" s="763"/>
      <c r="C25" s="763"/>
      <c r="D25" s="391"/>
      <c r="E25" s="302"/>
      <c r="F25" s="302"/>
      <c r="G25" s="302"/>
      <c r="H25" s="303"/>
      <c r="I25" s="304"/>
      <c r="J25" s="305"/>
      <c r="K25" s="306"/>
      <c r="M25" s="457"/>
      <c r="N25" s="457"/>
      <c r="O25" s="457"/>
      <c r="P25" s="457"/>
      <c r="Q25" s="457"/>
      <c r="R25" s="457"/>
      <c r="S25" s="457"/>
    </row>
    <row r="26" spans="1:19" ht="32.25" customHeight="1" thickBot="1" x14ac:dyDescent="0.25">
      <c r="A26" s="764" t="s">
        <v>427</v>
      </c>
      <c r="B26" s="765"/>
      <c r="C26" s="765"/>
      <c r="D26" s="765"/>
      <c r="E26" s="650"/>
      <c r="F26" s="651" t="s">
        <v>347</v>
      </c>
      <c r="G26" s="652"/>
      <c r="H26" s="652"/>
      <c r="I26" s="652"/>
      <c r="J26" s="652"/>
      <c r="K26" s="743" t="s">
        <v>392</v>
      </c>
      <c r="L26" s="744"/>
      <c r="M26" s="741"/>
      <c r="N26" s="457"/>
      <c r="O26" s="457"/>
      <c r="P26" s="457"/>
      <c r="Q26" s="457"/>
      <c r="R26" s="457"/>
      <c r="S26" s="457"/>
    </row>
    <row r="27" spans="1:19" x14ac:dyDescent="0.2">
      <c r="A27" s="637" t="s">
        <v>417</v>
      </c>
      <c r="B27" s="27" t="s">
        <v>415</v>
      </c>
      <c r="C27" s="28">
        <v>2</v>
      </c>
      <c r="D27" s="488"/>
      <c r="E27" s="494"/>
      <c r="F27" s="745" t="s">
        <v>350</v>
      </c>
      <c r="G27" s="746"/>
      <c r="H27" s="746"/>
      <c r="I27" s="746"/>
      <c r="J27" s="746"/>
      <c r="K27" s="746"/>
      <c r="M27" s="577"/>
      <c r="N27" s="457"/>
      <c r="O27" s="457"/>
      <c r="P27" s="457"/>
      <c r="Q27" s="457"/>
      <c r="R27" s="457"/>
      <c r="S27" s="457"/>
    </row>
    <row r="28" spans="1:19" ht="12.75" customHeight="1" thickBot="1" x14ac:dyDescent="0.25">
      <c r="A28" s="638" t="s">
        <v>426</v>
      </c>
      <c r="B28" s="1" t="s">
        <v>419</v>
      </c>
      <c r="C28" s="13">
        <v>2</v>
      </c>
      <c r="D28" s="488"/>
      <c r="E28" s="494"/>
      <c r="F28" s="747"/>
      <c r="G28" s="748"/>
      <c r="H28" s="749"/>
      <c r="K28" s="7"/>
      <c r="M28" s="577"/>
      <c r="N28" s="457"/>
      <c r="O28" s="457"/>
      <c r="P28" s="457"/>
      <c r="Q28" s="457"/>
      <c r="R28" s="457"/>
      <c r="S28" s="457"/>
    </row>
    <row r="29" spans="1:19" ht="18.75" thickBot="1" x14ac:dyDescent="0.3">
      <c r="A29" s="639" t="s">
        <v>420</v>
      </c>
      <c r="B29" s="628" t="s">
        <v>422</v>
      </c>
      <c r="C29" s="13">
        <v>2</v>
      </c>
      <c r="D29" s="644"/>
      <c r="E29" s="494"/>
      <c r="F29" s="750" t="s">
        <v>348</v>
      </c>
      <c r="G29" s="751"/>
      <c r="H29" s="751"/>
      <c r="I29" s="490">
        <v>900</v>
      </c>
      <c r="K29" s="495" t="s">
        <v>349</v>
      </c>
      <c r="L29" s="507">
        <v>16</v>
      </c>
      <c r="M29" s="635"/>
    </row>
    <row r="30" spans="1:19" ht="15.75" x14ac:dyDescent="0.25">
      <c r="A30" s="640" t="s">
        <v>423</v>
      </c>
      <c r="B30" s="628" t="s">
        <v>421</v>
      </c>
      <c r="C30" s="13">
        <v>2</v>
      </c>
      <c r="D30" s="645"/>
      <c r="E30" s="494"/>
      <c r="J30" s="496"/>
      <c r="K30" s="497"/>
      <c r="M30" s="578"/>
    </row>
    <row r="31" spans="1:19" ht="18" x14ac:dyDescent="0.25">
      <c r="A31" s="641" t="s">
        <v>425</v>
      </c>
      <c r="B31" s="628" t="s">
        <v>424</v>
      </c>
      <c r="C31" s="13">
        <v>2</v>
      </c>
      <c r="D31" s="644"/>
      <c r="E31" s="494"/>
      <c r="F31" s="498"/>
      <c r="G31" s="498"/>
      <c r="H31" s="498"/>
      <c r="K31" s="495"/>
      <c r="L31" s="636"/>
      <c r="M31" s="578"/>
    </row>
    <row r="32" spans="1:19" ht="16.5" customHeight="1" x14ac:dyDescent="0.2">
      <c r="A32" s="631" t="s">
        <v>470</v>
      </c>
      <c r="B32" s="11" t="s">
        <v>431</v>
      </c>
      <c r="C32" s="15">
        <v>1</v>
      </c>
      <c r="D32" s="644"/>
      <c r="E32" s="752" t="str">
        <f>IF(I29&lt;480,"Мин. высота 480 мм",IF(I29&lt;520,"93 мм",IF(I29&lt;1201,"116 мм",IF(I29&gt;1200,"Макс. высота 1200 мм",))))</f>
        <v>116 мм</v>
      </c>
      <c r="F32" s="499"/>
      <c r="G32" s="499"/>
      <c r="H32" s="499"/>
      <c r="I32" s="500"/>
      <c r="J32" s="501"/>
      <c r="K32" s="501"/>
      <c r="L32" s="501"/>
      <c r="M32" s="90"/>
    </row>
    <row r="33" spans="1:13" ht="11.25" customHeight="1" x14ac:dyDescent="0.2">
      <c r="A33" s="631" t="s">
        <v>471</v>
      </c>
      <c r="B33" s="11" t="s">
        <v>433</v>
      </c>
      <c r="C33" s="15">
        <v>1</v>
      </c>
      <c r="D33" s="644"/>
      <c r="E33" s="752"/>
      <c r="F33" s="499"/>
      <c r="G33" s="499"/>
      <c r="H33" s="499"/>
      <c r="I33" s="500"/>
      <c r="J33" s="501"/>
      <c r="K33" s="501"/>
      <c r="L33" s="501"/>
      <c r="M33" s="90"/>
    </row>
    <row r="34" spans="1:13" ht="29.25" customHeight="1" thickBot="1" x14ac:dyDescent="0.25">
      <c r="A34" s="632" t="s">
        <v>472</v>
      </c>
      <c r="B34" s="12" t="s">
        <v>435</v>
      </c>
      <c r="C34" s="16">
        <v>2</v>
      </c>
      <c r="D34" s="644"/>
      <c r="E34" s="752"/>
      <c r="F34" s="499"/>
      <c r="G34" s="499"/>
      <c r="H34" s="499"/>
      <c r="I34" s="500"/>
      <c r="J34" s="501"/>
      <c r="K34" s="501"/>
      <c r="L34" s="501"/>
      <c r="M34" s="90"/>
    </row>
    <row r="35" spans="1:13" ht="43.5" customHeight="1" thickBot="1" x14ac:dyDescent="0.25">
      <c r="A35" s="757" t="s">
        <v>31</v>
      </c>
      <c r="B35" s="758"/>
      <c r="C35" s="629"/>
      <c r="D35" s="489"/>
      <c r="E35" s="752"/>
      <c r="F35" s="492"/>
      <c r="G35" s="492"/>
      <c r="H35" s="492"/>
      <c r="I35" s="500"/>
      <c r="J35" s="501"/>
      <c r="K35" s="501"/>
      <c r="L35" s="501"/>
      <c r="M35" s="90"/>
    </row>
    <row r="36" spans="1:13" ht="20.25" x14ac:dyDescent="0.2">
      <c r="A36" s="630" t="s">
        <v>0</v>
      </c>
      <c r="B36" s="5" t="s">
        <v>77</v>
      </c>
      <c r="C36" s="14">
        <v>6</v>
      </c>
      <c r="D36" s="493"/>
      <c r="E36" s="502" t="s">
        <v>346</v>
      </c>
      <c r="F36" s="491"/>
      <c r="G36" s="491"/>
      <c r="H36" s="492"/>
      <c r="I36" s="500"/>
      <c r="J36" s="501"/>
      <c r="K36" s="501"/>
      <c r="L36" s="501"/>
      <c r="M36" s="90"/>
    </row>
    <row r="37" spans="1:13" ht="15.75" customHeight="1" x14ac:dyDescent="0.2">
      <c r="A37" s="631" t="s">
        <v>1</v>
      </c>
      <c r="B37" s="6" t="s">
        <v>2</v>
      </c>
      <c r="C37" s="15">
        <v>2</v>
      </c>
      <c r="D37" s="493"/>
      <c r="E37" s="503" t="s">
        <v>345</v>
      </c>
      <c r="F37" s="492"/>
      <c r="G37" s="492"/>
      <c r="H37" s="492"/>
      <c r="I37" s="500"/>
      <c r="J37" s="501"/>
      <c r="K37" s="501"/>
      <c r="L37" s="501"/>
      <c r="M37" s="90"/>
    </row>
    <row r="38" spans="1:13" ht="13.5" thickBot="1" x14ac:dyDescent="0.25">
      <c r="A38" s="632" t="s">
        <v>3</v>
      </c>
      <c r="B38" s="633" t="s">
        <v>4</v>
      </c>
      <c r="C38" s="16">
        <v>2</v>
      </c>
      <c r="D38" s="493"/>
      <c r="E38" s="504"/>
      <c r="F38" s="492"/>
      <c r="G38" s="492"/>
      <c r="H38" s="492"/>
      <c r="I38" s="500"/>
      <c r="J38" s="501"/>
      <c r="K38" s="501"/>
      <c r="L38" s="501"/>
      <c r="M38" s="90"/>
    </row>
    <row r="39" spans="1:13" x14ac:dyDescent="0.2">
      <c r="A39" s="642"/>
      <c r="B39" s="407"/>
      <c r="C39" s="634"/>
      <c r="D39" s="634"/>
      <c r="E39" s="504"/>
      <c r="F39" s="492"/>
      <c r="G39" s="492"/>
      <c r="H39" s="492"/>
      <c r="I39" s="500"/>
      <c r="J39" s="501"/>
      <c r="K39" s="501"/>
      <c r="L39" s="501"/>
      <c r="M39" s="90"/>
    </row>
    <row r="40" spans="1:13" ht="9" customHeight="1" x14ac:dyDescent="0.2">
      <c r="A40" s="642"/>
      <c r="B40" s="407"/>
      <c r="C40" s="634"/>
      <c r="D40" s="634"/>
      <c r="E40" s="504"/>
      <c r="F40" s="492"/>
      <c r="G40" s="492"/>
      <c r="H40" s="492"/>
      <c r="I40" s="500"/>
      <c r="J40" s="501"/>
      <c r="K40" s="501"/>
      <c r="L40" s="501"/>
      <c r="M40" s="90"/>
    </row>
    <row r="41" spans="1:13" ht="18.75" customHeight="1" x14ac:dyDescent="0.2">
      <c r="A41" s="642"/>
      <c r="B41" s="407"/>
      <c r="C41" s="634"/>
      <c r="D41" s="634"/>
      <c r="E41" s="504"/>
      <c r="F41" s="492"/>
      <c r="G41" s="492"/>
      <c r="H41" s="492"/>
      <c r="I41" s="500"/>
      <c r="J41" s="501"/>
      <c r="K41" s="501"/>
      <c r="L41" s="734" t="str">
        <f>IF(I29&lt;480,"Увеличте высоту корпуса",IF(I29&lt;520,"202",IF(I29&lt;1201,"221",)))</f>
        <v>221</v>
      </c>
      <c r="M41" s="90"/>
    </row>
    <row r="42" spans="1:13" ht="18.75" customHeight="1" thickBot="1" x14ac:dyDescent="0.25">
      <c r="A42" s="736" t="s">
        <v>32</v>
      </c>
      <c r="B42" s="737"/>
      <c r="C42" s="629"/>
      <c r="D42" s="489"/>
      <c r="E42" s="504"/>
      <c r="F42" s="492"/>
      <c r="G42" s="492"/>
      <c r="H42" s="492"/>
      <c r="I42" s="500"/>
      <c r="J42" s="501"/>
      <c r="K42" s="501"/>
      <c r="L42" s="734"/>
      <c r="M42" s="742"/>
    </row>
    <row r="43" spans="1:13" ht="15.75" customHeight="1" x14ac:dyDescent="0.2">
      <c r="A43" s="630" t="s">
        <v>0</v>
      </c>
      <c r="B43" s="5" t="s">
        <v>77</v>
      </c>
      <c r="C43" s="14">
        <v>2</v>
      </c>
      <c r="D43" s="493"/>
      <c r="E43" s="505"/>
      <c r="F43" s="491"/>
      <c r="G43" s="491"/>
      <c r="H43" s="506"/>
      <c r="I43" s="500"/>
      <c r="J43" s="501"/>
      <c r="K43" s="501"/>
      <c r="L43" s="735"/>
      <c r="M43" s="742"/>
    </row>
    <row r="44" spans="1:13" ht="22.5" x14ac:dyDescent="0.2">
      <c r="A44" s="643" t="s">
        <v>5</v>
      </c>
      <c r="B44" s="18" t="s">
        <v>6</v>
      </c>
      <c r="C44" s="19">
        <v>2</v>
      </c>
      <c r="D44" s="493"/>
      <c r="E44" s="505"/>
      <c r="F44" s="506"/>
      <c r="G44" s="506"/>
      <c r="H44" s="506"/>
      <c r="I44" s="500"/>
      <c r="J44" s="501"/>
      <c r="K44" s="501"/>
      <c r="L44" s="501"/>
      <c r="M44" s="742"/>
    </row>
    <row r="45" spans="1:13" ht="22.5" x14ac:dyDescent="0.2">
      <c r="A45" s="631" t="s">
        <v>33</v>
      </c>
      <c r="B45" s="11" t="s">
        <v>7</v>
      </c>
      <c r="C45" s="15">
        <v>2</v>
      </c>
      <c r="D45" s="493"/>
      <c r="E45" s="505"/>
      <c r="F45" s="506"/>
      <c r="G45" s="506"/>
      <c r="H45" s="506"/>
      <c r="I45" s="500"/>
      <c r="J45" s="501"/>
      <c r="K45" s="501"/>
      <c r="L45" s="501"/>
      <c r="M45" s="90"/>
    </row>
    <row r="46" spans="1:13" x14ac:dyDescent="0.2">
      <c r="A46" s="631" t="s">
        <v>11</v>
      </c>
      <c r="B46" s="11" t="s">
        <v>12</v>
      </c>
      <c r="C46" s="15">
        <v>2</v>
      </c>
      <c r="D46" s="493"/>
      <c r="E46" s="505"/>
      <c r="F46" s="506"/>
      <c r="G46" s="506"/>
      <c r="H46" s="506"/>
      <c r="I46" s="500"/>
      <c r="J46" s="501"/>
      <c r="K46" s="501"/>
      <c r="L46" s="501"/>
      <c r="M46" s="90"/>
    </row>
    <row r="47" spans="1:13" x14ac:dyDescent="0.2">
      <c r="A47" s="643" t="s">
        <v>8</v>
      </c>
      <c r="B47" s="18" t="s">
        <v>9</v>
      </c>
      <c r="C47" s="19">
        <v>1</v>
      </c>
      <c r="D47" s="493"/>
      <c r="E47" s="505"/>
      <c r="F47" s="506"/>
      <c r="G47" s="506"/>
      <c r="H47" s="506"/>
      <c r="I47" s="500"/>
      <c r="J47" s="501"/>
      <c r="K47" s="501"/>
      <c r="L47" s="501"/>
      <c r="M47" s="90"/>
    </row>
    <row r="48" spans="1:13" ht="11.25" customHeight="1" x14ac:dyDescent="0.2">
      <c r="A48" s="631" t="s">
        <v>10</v>
      </c>
      <c r="B48" s="11" t="s">
        <v>9</v>
      </c>
      <c r="C48" s="15">
        <v>1</v>
      </c>
      <c r="D48" s="493"/>
      <c r="E48" s="505"/>
      <c r="F48" s="506"/>
      <c r="G48" s="506"/>
      <c r="H48" s="506"/>
      <c r="I48" s="500"/>
      <c r="J48" s="501"/>
      <c r="K48" s="501"/>
      <c r="L48" s="576">
        <f>L29+12.5</f>
        <v>28.5</v>
      </c>
      <c r="M48" s="90"/>
    </row>
    <row r="49" spans="1:13" x14ac:dyDescent="0.2">
      <c r="A49" s="631" t="s">
        <v>470</v>
      </c>
      <c r="B49" s="11" t="s">
        <v>431</v>
      </c>
      <c r="C49" s="15">
        <v>1</v>
      </c>
      <c r="D49" s="493"/>
      <c r="E49" s="505"/>
      <c r="F49" s="506"/>
      <c r="G49" s="506"/>
      <c r="H49" s="506"/>
      <c r="I49" s="500"/>
      <c r="J49" s="501"/>
      <c r="K49" s="501"/>
      <c r="L49" s="501"/>
      <c r="M49" s="90"/>
    </row>
    <row r="50" spans="1:13" x14ac:dyDescent="0.2">
      <c r="A50" s="631" t="s">
        <v>471</v>
      </c>
      <c r="B50" s="11" t="s">
        <v>433</v>
      </c>
      <c r="C50" s="15">
        <v>1</v>
      </c>
      <c r="D50" s="493"/>
      <c r="E50" s="647"/>
      <c r="F50" s="17"/>
      <c r="G50" s="17"/>
      <c r="H50" s="17"/>
      <c r="M50" s="90"/>
    </row>
    <row r="51" spans="1:13" ht="13.5" thickBot="1" x14ac:dyDescent="0.25">
      <c r="A51" s="632" t="s">
        <v>472</v>
      </c>
      <c r="B51" s="12" t="s">
        <v>435</v>
      </c>
      <c r="C51" s="16">
        <v>2</v>
      </c>
      <c r="D51" s="646"/>
      <c r="E51" s="648"/>
      <c r="F51" s="649"/>
      <c r="G51" s="649"/>
      <c r="H51" s="649"/>
      <c r="I51" s="582"/>
      <c r="J51" s="55"/>
      <c r="K51" s="55"/>
      <c r="L51" s="55"/>
      <c r="M51" s="579"/>
    </row>
    <row r="52" spans="1:13" ht="20.25" customHeight="1" thickBot="1" x14ac:dyDescent="0.25">
      <c r="A52" s="738" t="s">
        <v>30</v>
      </c>
      <c r="B52" s="738"/>
      <c r="C52" s="738"/>
      <c r="D52" s="389"/>
      <c r="E52" s="739" t="s">
        <v>441</v>
      </c>
      <c r="F52" s="740"/>
      <c r="G52" s="740"/>
      <c r="H52" s="740"/>
      <c r="I52" s="740"/>
      <c r="J52" s="740"/>
      <c r="K52" s="740"/>
      <c r="L52" s="740"/>
      <c r="M52" s="741"/>
    </row>
    <row r="53" spans="1:13" ht="26.25" customHeight="1" thickBot="1" x14ac:dyDescent="0.25">
      <c r="A53" s="738"/>
      <c r="B53" s="738"/>
      <c r="C53" s="738"/>
      <c r="D53" s="389"/>
      <c r="E53" s="91"/>
      <c r="F53" s="7"/>
      <c r="G53" s="7"/>
      <c r="H53" s="7"/>
      <c r="K53" s="657" t="s">
        <v>391</v>
      </c>
      <c r="L53" s="658">
        <v>600</v>
      </c>
      <c r="M53" s="586" t="s">
        <v>29</v>
      </c>
    </row>
    <row r="54" spans="1:13" ht="27" customHeight="1" thickBot="1" x14ac:dyDescent="0.25">
      <c r="A54" s="738"/>
      <c r="B54" s="738"/>
      <c r="C54" s="738"/>
      <c r="D54" s="389"/>
      <c r="E54" s="583"/>
      <c r="F54" s="7"/>
      <c r="G54" s="7"/>
      <c r="H54" s="7"/>
      <c r="K54" s="654" t="s">
        <v>440</v>
      </c>
      <c r="L54" s="588">
        <v>18</v>
      </c>
      <c r="M54" s="585" t="s">
        <v>29</v>
      </c>
    </row>
    <row r="55" spans="1:13" ht="27" customHeight="1" thickBot="1" x14ac:dyDescent="0.25">
      <c r="A55" s="729" t="s">
        <v>21</v>
      </c>
      <c r="B55" s="730"/>
      <c r="C55" s="730"/>
      <c r="D55" s="390"/>
      <c r="E55" s="584" t="s">
        <v>29</v>
      </c>
      <c r="F55" s="580"/>
      <c r="G55" s="580"/>
      <c r="H55" s="580"/>
      <c r="K55" s="655" t="s">
        <v>439</v>
      </c>
      <c r="L55" s="589">
        <f>L53*0.44+38</f>
        <v>302</v>
      </c>
      <c r="M55" s="587" t="s">
        <v>29</v>
      </c>
    </row>
    <row r="56" spans="1:13" ht="30" customHeight="1" thickBot="1" x14ac:dyDescent="0.35">
      <c r="A56" s="731" t="s">
        <v>34</v>
      </c>
      <c r="B56" s="731"/>
      <c r="C56" s="731"/>
      <c r="D56" s="459"/>
      <c r="E56" s="684">
        <f>L55</f>
        <v>302</v>
      </c>
      <c r="F56" s="7"/>
      <c r="G56" s="7"/>
      <c r="H56" s="7"/>
      <c r="K56" s="654" t="s">
        <v>443</v>
      </c>
      <c r="L56" s="591">
        <f>L53*0.29+35</f>
        <v>209</v>
      </c>
      <c r="M56" s="586" t="s">
        <v>29</v>
      </c>
    </row>
    <row r="57" spans="1:13" ht="24.75" customHeight="1" thickBot="1" x14ac:dyDescent="0.25">
      <c r="A57" s="20" t="s">
        <v>123</v>
      </c>
      <c r="B57" s="21" t="s">
        <v>428</v>
      </c>
      <c r="C57" s="22">
        <v>2</v>
      </c>
      <c r="D57" s="407"/>
      <c r="E57" s="91"/>
      <c r="F57" s="7"/>
      <c r="G57" s="7"/>
      <c r="H57" s="7"/>
      <c r="K57" s="656" t="s">
        <v>436</v>
      </c>
      <c r="L57" s="591">
        <f>L53*0.12+31</f>
        <v>103</v>
      </c>
      <c r="M57" s="586" t="s">
        <v>29</v>
      </c>
    </row>
    <row r="58" spans="1:13" ht="25.5" customHeight="1" thickBot="1" x14ac:dyDescent="0.25">
      <c r="A58" s="20" t="s">
        <v>19</v>
      </c>
      <c r="B58" s="23" t="s">
        <v>429</v>
      </c>
      <c r="C58" s="22">
        <v>2</v>
      </c>
      <c r="D58" s="407"/>
      <c r="E58" s="91"/>
      <c r="F58" s="7"/>
      <c r="G58" s="7"/>
      <c r="H58" s="7"/>
      <c r="K58" s="656" t="s">
        <v>437</v>
      </c>
      <c r="L58" s="590">
        <v>28</v>
      </c>
      <c r="M58" s="586" t="s">
        <v>29</v>
      </c>
    </row>
    <row r="59" spans="1:13" ht="27.75" customHeight="1" thickBot="1" x14ac:dyDescent="0.25">
      <c r="A59" s="20" t="s">
        <v>0</v>
      </c>
      <c r="B59" s="23" t="s">
        <v>77</v>
      </c>
      <c r="C59" s="22">
        <v>4</v>
      </c>
      <c r="D59" s="407"/>
      <c r="E59" s="91"/>
      <c r="F59" s="491"/>
      <c r="G59" s="491"/>
      <c r="H59" s="7"/>
      <c r="K59" s="656" t="s">
        <v>438</v>
      </c>
      <c r="L59" s="590">
        <v>0</v>
      </c>
      <c r="M59" s="587" t="s">
        <v>29</v>
      </c>
    </row>
    <row r="60" spans="1:13" ht="27.75" customHeight="1" thickBot="1" x14ac:dyDescent="0.25">
      <c r="A60" s="20" t="s">
        <v>1</v>
      </c>
      <c r="B60" s="23" t="s">
        <v>2</v>
      </c>
      <c r="C60" s="22">
        <v>2</v>
      </c>
      <c r="D60" s="407"/>
      <c r="E60" s="91"/>
      <c r="F60" s="7"/>
      <c r="G60" s="7"/>
      <c r="H60" s="7"/>
      <c r="K60" s="656" t="s">
        <v>442</v>
      </c>
      <c r="L60" s="591">
        <f>L53*0.9+1.5*L54+35</f>
        <v>602</v>
      </c>
      <c r="M60" s="587" t="s">
        <v>29</v>
      </c>
    </row>
    <row r="61" spans="1:13" ht="22.5" x14ac:dyDescent="0.2">
      <c r="A61" s="20" t="s">
        <v>33</v>
      </c>
      <c r="B61" s="22" t="s">
        <v>7</v>
      </c>
      <c r="C61" s="22">
        <v>2</v>
      </c>
      <c r="D61" s="407"/>
      <c r="E61" s="91"/>
      <c r="F61" s="7"/>
      <c r="G61" s="7"/>
      <c r="H61" s="7"/>
      <c r="J61" s="732"/>
      <c r="K61" s="733"/>
      <c r="L61" s="653"/>
      <c r="M61" s="90"/>
    </row>
    <row r="62" spans="1:13" x14ac:dyDescent="0.2">
      <c r="A62" s="20" t="s">
        <v>8</v>
      </c>
      <c r="B62" s="22" t="s">
        <v>9</v>
      </c>
      <c r="C62" s="22">
        <v>1</v>
      </c>
      <c r="D62" s="407"/>
      <c r="E62" s="91"/>
      <c r="F62" s="7"/>
      <c r="G62" s="7"/>
      <c r="H62" s="7"/>
      <c r="M62" s="90"/>
    </row>
    <row r="63" spans="1:13" x14ac:dyDescent="0.2">
      <c r="A63" s="20" t="s">
        <v>10</v>
      </c>
      <c r="B63" s="22" t="s">
        <v>9</v>
      </c>
      <c r="C63" s="22">
        <v>1</v>
      </c>
      <c r="D63" s="407"/>
      <c r="E63" s="91"/>
      <c r="F63" s="7"/>
      <c r="G63" s="7"/>
      <c r="H63" s="7"/>
      <c r="M63" s="90"/>
    </row>
    <row r="64" spans="1:13" x14ac:dyDescent="0.2">
      <c r="A64" s="460" t="s">
        <v>470</v>
      </c>
      <c r="B64" s="11" t="s">
        <v>431</v>
      </c>
      <c r="C64" s="22">
        <v>1</v>
      </c>
      <c r="D64" s="407"/>
      <c r="E64" s="91"/>
      <c r="F64" s="7"/>
      <c r="G64" s="7"/>
      <c r="H64" s="7"/>
      <c r="M64" s="90"/>
    </row>
    <row r="65" spans="1:15" x14ac:dyDescent="0.2">
      <c r="A65" s="460" t="s">
        <v>471</v>
      </c>
      <c r="B65" s="11" t="s">
        <v>433</v>
      </c>
      <c r="C65" s="22">
        <v>1</v>
      </c>
      <c r="D65" s="407"/>
      <c r="E65" s="91"/>
      <c r="F65" s="7"/>
      <c r="G65" s="7"/>
      <c r="H65" s="7"/>
      <c r="M65" s="90"/>
    </row>
    <row r="66" spans="1:15" ht="13.5" thickBot="1" x14ac:dyDescent="0.25">
      <c r="A66" s="461" t="s">
        <v>472</v>
      </c>
      <c r="B66" s="12" t="s">
        <v>435</v>
      </c>
      <c r="C66" s="22">
        <v>2</v>
      </c>
      <c r="D66" s="407"/>
      <c r="E66" s="91"/>
      <c r="F66" s="7"/>
      <c r="G66" s="7"/>
      <c r="H66" s="7"/>
      <c r="M66" s="90"/>
    </row>
    <row r="67" spans="1:15" ht="20.25" x14ac:dyDescent="0.3">
      <c r="A67" s="731" t="s">
        <v>35</v>
      </c>
      <c r="B67" s="731"/>
      <c r="C67" s="731"/>
      <c r="D67" s="459"/>
      <c r="E67" s="91"/>
      <c r="F67" s="7"/>
      <c r="G67" s="7"/>
      <c r="H67" s="7"/>
      <c r="M67" s="90"/>
    </row>
    <row r="68" spans="1:15" ht="13.5" thickBot="1" x14ac:dyDescent="0.25">
      <c r="A68" s="20" t="s">
        <v>124</v>
      </c>
      <c r="B68" s="21" t="s">
        <v>428</v>
      </c>
      <c r="C68" s="22">
        <v>2</v>
      </c>
      <c r="D68" s="407"/>
      <c r="E68" s="44"/>
      <c r="F68" s="581"/>
      <c r="G68" s="581"/>
      <c r="H68" s="581"/>
      <c r="I68" s="582"/>
      <c r="J68" s="55"/>
      <c r="K68" s="55"/>
      <c r="L68" s="55"/>
      <c r="M68" s="579"/>
    </row>
    <row r="69" spans="1:15" x14ac:dyDescent="0.2">
      <c r="A69" s="20" t="s">
        <v>19</v>
      </c>
      <c r="B69" s="23" t="s">
        <v>429</v>
      </c>
      <c r="C69" s="22">
        <v>2</v>
      </c>
      <c r="D69" s="407"/>
      <c r="E69" s="7"/>
      <c r="F69" s="7"/>
      <c r="G69" s="7"/>
      <c r="H69" s="7"/>
    </row>
    <row r="70" spans="1:15" x14ac:dyDescent="0.2">
      <c r="A70" s="20" t="s">
        <v>0</v>
      </c>
      <c r="B70" s="23" t="s">
        <v>77</v>
      </c>
      <c r="C70" s="22">
        <v>4</v>
      </c>
      <c r="D70" s="407"/>
      <c r="E70" s="7"/>
      <c r="F70" s="491"/>
      <c r="G70" s="491"/>
      <c r="H70" s="7"/>
    </row>
    <row r="71" spans="1:15" x14ac:dyDescent="0.2">
      <c r="A71" s="20" t="s">
        <v>3</v>
      </c>
      <c r="B71" s="23" t="s">
        <v>4</v>
      </c>
      <c r="C71" s="22">
        <v>2</v>
      </c>
      <c r="D71" s="407"/>
      <c r="E71" s="7"/>
      <c r="F71" s="7"/>
      <c r="G71" s="7"/>
      <c r="H71" s="7"/>
    </row>
    <row r="72" spans="1:15" ht="22.5" x14ac:dyDescent="0.2">
      <c r="A72" s="20" t="s">
        <v>5</v>
      </c>
      <c r="B72" s="22" t="s">
        <v>6</v>
      </c>
      <c r="C72" s="22">
        <v>2</v>
      </c>
      <c r="D72" s="407"/>
      <c r="E72" s="7"/>
      <c r="F72" s="7"/>
      <c r="G72" s="7"/>
      <c r="H72" s="7"/>
    </row>
    <row r="73" spans="1:15" x14ac:dyDescent="0.2">
      <c r="A73" s="20" t="s">
        <v>11</v>
      </c>
      <c r="B73" s="22" t="s">
        <v>12</v>
      </c>
      <c r="C73" s="22">
        <v>2</v>
      </c>
      <c r="D73" s="407"/>
      <c r="E73" s="7"/>
      <c r="F73" s="7"/>
      <c r="G73" s="7"/>
      <c r="H73" s="7"/>
    </row>
    <row r="74" spans="1:15" x14ac:dyDescent="0.2">
      <c r="A74" s="460" t="s">
        <v>470</v>
      </c>
      <c r="B74" s="11" t="s">
        <v>431</v>
      </c>
      <c r="C74" s="22">
        <v>1</v>
      </c>
      <c r="D74" s="407"/>
      <c r="E74" s="7"/>
      <c r="F74" s="7"/>
      <c r="G74" s="7"/>
      <c r="H74" s="7"/>
    </row>
    <row r="75" spans="1:15" x14ac:dyDescent="0.2">
      <c r="A75" s="460" t="s">
        <v>471</v>
      </c>
      <c r="B75" s="11" t="s">
        <v>433</v>
      </c>
      <c r="C75" s="22">
        <v>1</v>
      </c>
      <c r="D75" s="407"/>
      <c r="E75" s="7"/>
      <c r="F75" s="7"/>
      <c r="G75" s="7"/>
      <c r="H75" s="7"/>
    </row>
    <row r="76" spans="1:15" ht="13.5" thickBot="1" x14ac:dyDescent="0.25">
      <c r="A76" s="461" t="s">
        <v>472</v>
      </c>
      <c r="B76" s="12" t="s">
        <v>435</v>
      </c>
      <c r="C76" s="22">
        <v>2</v>
      </c>
      <c r="D76" s="407"/>
      <c r="E76" s="7"/>
      <c r="F76" s="7"/>
      <c r="G76" s="7"/>
      <c r="H76" s="7"/>
    </row>
    <row r="77" spans="1:15" ht="32.25" customHeight="1" thickBot="1" x14ac:dyDescent="0.25">
      <c r="A77" s="764" t="s">
        <v>509</v>
      </c>
      <c r="B77" s="818"/>
      <c r="C77" s="818"/>
      <c r="D77" s="818"/>
      <c r="E77" s="818"/>
      <c r="F77" s="818"/>
      <c r="G77" s="818"/>
      <c r="H77" s="818"/>
      <c r="I77" s="818"/>
      <c r="J77" s="818"/>
      <c r="K77" s="818"/>
      <c r="L77" s="741"/>
      <c r="M77" s="88"/>
      <c r="N77" s="88"/>
      <c r="O77" s="88"/>
    </row>
    <row r="93" spans="5:7" ht="18" x14ac:dyDescent="0.2">
      <c r="E93" s="732"/>
      <c r="F93" s="732"/>
      <c r="G93" s="653"/>
    </row>
    <row r="94" spans="5:7" ht="18" x14ac:dyDescent="0.2">
      <c r="E94" s="732"/>
      <c r="F94" s="732"/>
      <c r="G94" s="653"/>
    </row>
    <row r="95" spans="5:7" ht="18" x14ac:dyDescent="0.2">
      <c r="E95" s="732"/>
      <c r="F95" s="733"/>
      <c r="G95" s="653"/>
    </row>
    <row r="96" spans="5:7" ht="18" x14ac:dyDescent="0.2">
      <c r="E96" s="732"/>
      <c r="F96" s="733"/>
      <c r="G96" s="653"/>
    </row>
    <row r="97" spans="5:7" ht="18" x14ac:dyDescent="0.2">
      <c r="E97" s="732"/>
      <c r="F97" s="733"/>
      <c r="G97" s="653"/>
    </row>
  </sheetData>
  <sheetProtection algorithmName="SHA-512" hashValue="qc93SClclaml8wdvmxhGBN38YBbq5IZpGX7QkCjK23sn948RghSyU8zUbN+c8VlV7eis/q5nip+aOBYPerUZ0w==" saltValue="pX9RfSh83wsd7hSxOMxLsA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E16:G25" name="Диапазон1"/>
  </protectedRanges>
  <mergeCells count="54">
    <mergeCell ref="A77:L77"/>
    <mergeCell ref="E93:F93"/>
    <mergeCell ref="E94:F94"/>
    <mergeCell ref="E95:F95"/>
    <mergeCell ref="E96:F96"/>
    <mergeCell ref="E97:F97"/>
    <mergeCell ref="A1:K1"/>
    <mergeCell ref="A3:A4"/>
    <mergeCell ref="B3:B4"/>
    <mergeCell ref="C3:D4"/>
    <mergeCell ref="E3:F3"/>
    <mergeCell ref="G3:I12"/>
    <mergeCell ref="A5:A6"/>
    <mergeCell ref="B5:B6"/>
    <mergeCell ref="C5:D5"/>
    <mergeCell ref="C6:D6"/>
    <mergeCell ref="A7:A8"/>
    <mergeCell ref="B7:B8"/>
    <mergeCell ref="C7:D7"/>
    <mergeCell ref="C8:D8"/>
    <mergeCell ref="A20:D20"/>
    <mergeCell ref="A14:K14"/>
    <mergeCell ref="C9:D9"/>
    <mergeCell ref="A15:C15"/>
    <mergeCell ref="A16:C16"/>
    <mergeCell ref="A17:C17"/>
    <mergeCell ref="E9:F9"/>
    <mergeCell ref="C10:D10"/>
    <mergeCell ref="C11:D11"/>
    <mergeCell ref="C12:D12"/>
    <mergeCell ref="C13:D13"/>
    <mergeCell ref="A18:D18"/>
    <mergeCell ref="A19:D19"/>
    <mergeCell ref="A35:B35"/>
    <mergeCell ref="A21:D21"/>
    <mergeCell ref="A22:D22"/>
    <mergeCell ref="A23:D23"/>
    <mergeCell ref="A24:D24"/>
    <mergeCell ref="A25:C25"/>
    <mergeCell ref="A26:D26"/>
    <mergeCell ref="K26:M26"/>
    <mergeCell ref="F27:K27"/>
    <mergeCell ref="F28:H28"/>
    <mergeCell ref="F29:H29"/>
    <mergeCell ref="E32:E35"/>
    <mergeCell ref="A55:C55"/>
    <mergeCell ref="A56:C56"/>
    <mergeCell ref="A67:C67"/>
    <mergeCell ref="J61:K61"/>
    <mergeCell ref="L41:L43"/>
    <mergeCell ref="A42:B42"/>
    <mergeCell ref="A52:C54"/>
    <mergeCell ref="E52:M52"/>
    <mergeCell ref="M42:M44"/>
  </mergeCells>
  <conditionalFormatting sqref="J16:J25">
    <cfRule type="containsText" dxfId="101" priority="2" stopIfTrue="1" operator="containsText" text="очень">
      <formula>NOT(ISERROR(SEARCH("очень",J16)))</formula>
    </cfRule>
  </conditionalFormatting>
  <conditionalFormatting sqref="K16:K25">
    <cfRule type="containsText" dxfId="100" priority="1" stopIfTrue="1" operator="containsText" text="Недопустимо">
      <formula>NOT(ISERROR(SEARCH("Недопустимо",K16)))</formula>
    </cfRule>
  </conditionalFormatting>
  <hyperlinks>
    <hyperlink ref="L1" location="Содержание!R1C1" display="← СОДЕРЖАНИЕ:" xr:uid="{00000000-0004-0000-03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P29"/>
  <sheetViews>
    <sheetView showGridLines="0" zoomScaleNormal="100" workbookViewId="0">
      <selection activeCell="M1" sqref="M1"/>
    </sheetView>
  </sheetViews>
  <sheetFormatPr defaultColWidth="9.140625" defaultRowHeight="12.75" x14ac:dyDescent="0.2"/>
  <cols>
    <col min="1" max="1" width="36.5703125" style="462" customWidth="1"/>
    <col min="2" max="2" width="13.7109375" style="462" customWidth="1"/>
    <col min="3" max="3" width="21.28515625" style="462" customWidth="1"/>
    <col min="4" max="4" width="17.28515625" style="462" customWidth="1"/>
    <col min="5" max="5" width="16.7109375" style="462" customWidth="1"/>
    <col min="6" max="6" width="23.42578125" style="484" customWidth="1"/>
    <col min="7" max="7" width="14.42578125" style="462" customWidth="1"/>
    <col min="8" max="8" width="14.28515625" style="462" customWidth="1"/>
    <col min="9" max="9" width="15.85546875" style="462" customWidth="1"/>
    <col min="10" max="10" width="17.85546875" style="462" customWidth="1"/>
    <col min="11" max="11" width="27.85546875" style="462" customWidth="1"/>
    <col min="12" max="12" width="24.140625" style="462" customWidth="1"/>
    <col min="13" max="13" width="21.42578125" style="462" customWidth="1"/>
    <col min="14" max="14" width="10.7109375" style="462" customWidth="1"/>
    <col min="15" max="15" width="14.7109375" style="462" customWidth="1"/>
    <col min="16" max="16384" width="9.140625" style="462"/>
  </cols>
  <sheetData>
    <row r="1" spans="1:16" ht="48" customHeight="1" thickBot="1" x14ac:dyDescent="0.25">
      <c r="A1" s="865"/>
      <c r="B1" s="866"/>
      <c r="C1" s="866"/>
      <c r="D1" s="866"/>
      <c r="E1" s="866"/>
      <c r="F1" s="866"/>
      <c r="G1" s="867"/>
      <c r="H1" s="867"/>
      <c r="I1" s="867"/>
      <c r="J1" s="867"/>
      <c r="K1" s="867"/>
      <c r="L1" s="868"/>
      <c r="M1" s="704" t="s">
        <v>295</v>
      </c>
    </row>
    <row r="2" spans="1:16" ht="18.75" customHeight="1" thickBot="1" x14ac:dyDescent="0.25">
      <c r="A2" s="869" t="s">
        <v>156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463"/>
      <c r="M2" s="464"/>
    </row>
    <row r="3" spans="1:16" ht="50.25" customHeight="1" thickBot="1" x14ac:dyDescent="0.25">
      <c r="A3" s="678" t="s">
        <v>125</v>
      </c>
      <c r="B3" s="465" t="s">
        <v>334</v>
      </c>
      <c r="C3" s="466" t="s">
        <v>15</v>
      </c>
      <c r="D3" s="466" t="s">
        <v>14</v>
      </c>
      <c r="E3" s="677" t="s">
        <v>182</v>
      </c>
      <c r="F3" s="679" t="s">
        <v>20</v>
      </c>
      <c r="G3" s="862" t="s">
        <v>463</v>
      </c>
      <c r="H3" s="871"/>
      <c r="I3" s="871"/>
      <c r="J3" s="872"/>
      <c r="K3" s="467"/>
      <c r="L3" s="468"/>
      <c r="M3" s="464"/>
    </row>
    <row r="4" spans="1:16" ht="33.75" customHeight="1" thickBot="1" x14ac:dyDescent="0.35">
      <c r="A4" s="469" t="s">
        <v>337</v>
      </c>
      <c r="B4" s="470">
        <v>18</v>
      </c>
      <c r="C4" s="680">
        <v>800</v>
      </c>
      <c r="D4" s="471">
        <v>1800</v>
      </c>
      <c r="E4" s="472">
        <v>0</v>
      </c>
      <c r="F4" s="672">
        <f>(C4/1000)*(D4/1000)*B4*(680/1000)+(E4/1000)</f>
        <v>17.625600000000002</v>
      </c>
      <c r="G4" s="854" t="str">
        <f>IF(C4&lt;350,"Увеличьте высоту фасада (мин.350 мм)",IF(D4&gt;1800,ё,IF(AND(C4&lt;501,F4&lt;12.51),"АVENTOS HS top 22 (22S2200)",IF(AND(C4&lt;651,F4&lt;15.26),"АVENTOS HS top 25 (22S2500)",IF(AND(C4&lt;801,F4&lt;18.51)," АVENTOS HS top 28 (22S2800)",IF(C4&gt;800,"Уменьшите высоту фасада (макс. 800 мм)",IF(F4&gt;18.5,"Очень тяжёлый фасад",)))))))</f>
        <v xml:space="preserve"> АVENTOS HS top 28 (22S2800)</v>
      </c>
      <c r="H4" s="855"/>
      <c r="I4" s="855"/>
      <c r="J4" s="856"/>
      <c r="K4" s="473"/>
      <c r="L4" s="474"/>
      <c r="M4" s="464"/>
      <c r="N4"/>
    </row>
    <row r="5" spans="1:16" ht="34.5" customHeight="1" thickBot="1" x14ac:dyDescent="0.35">
      <c r="A5" s="675" t="s">
        <v>338</v>
      </c>
      <c r="B5" s="670">
        <v>19</v>
      </c>
      <c r="C5" s="681">
        <v>420</v>
      </c>
      <c r="D5" s="671">
        <v>1200</v>
      </c>
      <c r="E5" s="671">
        <v>0</v>
      </c>
      <c r="F5" s="674">
        <f>(C5/1000)*(D5/1000)*B5*(760/1000)+(E5/1000)</f>
        <v>7.2777600000000007</v>
      </c>
      <c r="G5" s="849" t="str">
        <f t="shared" ref="G5:G9" si="0">IF(C5&lt;350,"Увеличьте высоту фасада (мин.350 мм)",IF(D5&gt;1800,"Уменьшите ширину фасада (макс. 1800 мм)",IF(AND(C5&lt;501,F5&lt;12.51),"АVENTOS HS top 22 (22S2200)",IF(AND(C5&lt;651,F5&lt;15.26),"АVENTOS HS top 25 (22S2500)",IF(AND(C5&lt;801,F5&lt;18.51)," АVENTOS HS top 28 (22S2800)",IF(C5&gt;800,"Уменьшите высоту фасада (макс. 800 мм)",IF(F5&gt;18.5,"Очень тяжёлый фасад",)))))))</f>
        <v>АVENTOS HS top 22 (22S2200)</v>
      </c>
      <c r="H5" s="850"/>
      <c r="I5" s="850"/>
      <c r="J5" s="851"/>
      <c r="K5" s="477"/>
      <c r="L5" s="478"/>
      <c r="M5" s="464"/>
    </row>
    <row r="6" spans="1:16" ht="27" customHeight="1" thickBot="1" x14ac:dyDescent="0.35">
      <c r="A6" s="864" t="s">
        <v>36</v>
      </c>
      <c r="B6" s="853"/>
      <c r="C6" s="682">
        <v>600</v>
      </c>
      <c r="D6" s="471">
        <v>650</v>
      </c>
      <c r="E6" s="472">
        <v>0</v>
      </c>
      <c r="F6" s="672">
        <f>(C6-4)/1000*(D6-4)/1000*(11.5+0.6)+ (E6/1000)</f>
        <v>4.6586935999999994</v>
      </c>
      <c r="G6" s="854" t="str">
        <f t="shared" si="0"/>
        <v>АVENTOS HS top 25 (22S2500)</v>
      </c>
      <c r="H6" s="855"/>
      <c r="I6" s="855"/>
      <c r="J6" s="856"/>
      <c r="K6" s="477"/>
      <c r="L6" s="478"/>
      <c r="M6" s="464"/>
    </row>
    <row r="7" spans="1:16" ht="27" customHeight="1" thickBot="1" x14ac:dyDescent="0.35">
      <c r="A7" s="847" t="s">
        <v>37</v>
      </c>
      <c r="B7" s="848"/>
      <c r="C7" s="683">
        <v>600</v>
      </c>
      <c r="D7" s="476">
        <v>0</v>
      </c>
      <c r="E7" s="476">
        <v>0</v>
      </c>
      <c r="F7" s="674">
        <f>(C7-4)/1000*(D7-4)/1000*(11.5+0.6)+ (E7/1000)</f>
        <v>-2.8846399999999998E-2</v>
      </c>
      <c r="G7" s="849" t="str">
        <f t="shared" si="0"/>
        <v>АVENTOS HS top 25 (22S2500)</v>
      </c>
      <c r="H7" s="850"/>
      <c r="I7" s="850"/>
      <c r="J7" s="851"/>
      <c r="K7" s="477"/>
      <c r="L7" s="478"/>
      <c r="M7" s="464"/>
    </row>
    <row r="8" spans="1:16" ht="27" customHeight="1" thickBot="1" x14ac:dyDescent="0.35">
      <c r="A8" s="852" t="s">
        <v>172</v>
      </c>
      <c r="B8" s="853"/>
      <c r="C8" s="682">
        <v>600</v>
      </c>
      <c r="D8" s="471">
        <v>0</v>
      </c>
      <c r="E8" s="472">
        <v>0</v>
      </c>
      <c r="F8" s="672">
        <f>(C8-4)/1000*(D8-4)/1000*(8.8+0.4)+ (E8/1000)</f>
        <v>-2.1932800000000002E-2</v>
      </c>
      <c r="G8" s="854" t="str">
        <f t="shared" si="0"/>
        <v>АVENTOS HS top 25 (22S2500)</v>
      </c>
      <c r="H8" s="855"/>
      <c r="I8" s="855"/>
      <c r="J8" s="856"/>
      <c r="K8" s="477"/>
      <c r="L8" s="478"/>
      <c r="M8" s="464"/>
    </row>
    <row r="9" spans="1:16" ht="31.5" customHeight="1" thickBot="1" x14ac:dyDescent="0.35">
      <c r="A9" s="857" t="s">
        <v>289</v>
      </c>
      <c r="B9" s="858"/>
      <c r="C9" s="683">
        <v>600</v>
      </c>
      <c r="D9" s="475">
        <v>0</v>
      </c>
      <c r="E9" s="475">
        <v>0</v>
      </c>
      <c r="F9" s="674">
        <f>(C9)/1000*(D9)/1000*4*(2500/1000)+(C9)/1000*(D9)/1000*16*(680/1000)+E9/1000</f>
        <v>0</v>
      </c>
      <c r="G9" s="859" t="str">
        <f t="shared" si="0"/>
        <v>АVENTOS HS top 25 (22S2500)</v>
      </c>
      <c r="H9" s="860"/>
      <c r="I9" s="860"/>
      <c r="J9" s="861"/>
      <c r="K9" s="479"/>
      <c r="L9" s="480"/>
      <c r="M9" s="464"/>
    </row>
    <row r="10" spans="1:16" ht="15" customHeight="1" x14ac:dyDescent="0.3">
      <c r="A10" s="481" t="s">
        <v>210</v>
      </c>
      <c r="B10" s="482"/>
      <c r="C10" s="482"/>
      <c r="D10" s="482"/>
      <c r="E10" s="482"/>
      <c r="F10" s="482"/>
      <c r="G10" s="464"/>
      <c r="H10" s="464"/>
      <c r="I10" s="464"/>
      <c r="J10" s="464"/>
      <c r="K10" s="464"/>
      <c r="L10" s="464"/>
      <c r="M10" s="464"/>
      <c r="O10" s="486"/>
    </row>
    <row r="11" spans="1:16" ht="17.25" customHeight="1" thickBot="1" x14ac:dyDescent="0.25">
      <c r="A11" s="669" t="s">
        <v>445</v>
      </c>
      <c r="B11" s="660" t="s">
        <v>155</v>
      </c>
      <c r="C11" s="661"/>
      <c r="D11" s="661"/>
      <c r="E11" s="664"/>
      <c r="F11" s="665"/>
      <c r="G11" s="666"/>
      <c r="H11" s="666"/>
      <c r="I11" s="843"/>
      <c r="J11" s="845"/>
      <c r="K11" s="846"/>
      <c r="L11" s="846"/>
      <c r="M11" s="464"/>
    </row>
    <row r="12" spans="1:16" ht="54.75" customHeight="1" thickBot="1" x14ac:dyDescent="0.25">
      <c r="A12" s="685" t="s">
        <v>445</v>
      </c>
      <c r="B12" s="862" t="s">
        <v>459</v>
      </c>
      <c r="C12" s="863"/>
      <c r="D12" s="689" t="s">
        <v>456</v>
      </c>
      <c r="E12" s="667"/>
      <c r="F12" s="668"/>
      <c r="G12" s="668"/>
      <c r="H12" s="668"/>
      <c r="I12" s="844"/>
      <c r="J12" s="662"/>
      <c r="K12" s="662"/>
      <c r="L12" s="662"/>
      <c r="M12" s="464"/>
      <c r="O12" s="487"/>
      <c r="P12" s="483"/>
    </row>
    <row r="13" spans="1:16" ht="18" customHeight="1" x14ac:dyDescent="0.2">
      <c r="A13" s="686" t="s">
        <v>444</v>
      </c>
      <c r="B13" s="879" t="s">
        <v>449</v>
      </c>
      <c r="C13" s="880"/>
      <c r="D13" s="889" t="s">
        <v>451</v>
      </c>
      <c r="E13" s="663"/>
      <c r="F13" s="659"/>
      <c r="G13" s="659"/>
      <c r="H13" s="659"/>
      <c r="I13" s="663"/>
      <c r="J13" s="659"/>
      <c r="K13" s="659"/>
      <c r="L13" s="659"/>
      <c r="M13" s="464"/>
    </row>
    <row r="14" spans="1:16" ht="18" x14ac:dyDescent="0.2">
      <c r="A14" s="687" t="s">
        <v>446</v>
      </c>
      <c r="B14" s="890" t="s">
        <v>450</v>
      </c>
      <c r="C14" s="891"/>
      <c r="D14" s="880"/>
      <c r="E14" s="663"/>
      <c r="F14" s="659"/>
      <c r="G14" s="659"/>
      <c r="H14" s="659"/>
      <c r="I14" s="663"/>
      <c r="J14" s="659"/>
      <c r="K14" s="659"/>
      <c r="L14" s="659"/>
      <c r="M14" s="464"/>
    </row>
    <row r="15" spans="1:16" ht="18" x14ac:dyDescent="0.2">
      <c r="A15" s="687" t="s">
        <v>447</v>
      </c>
      <c r="B15" s="890" t="s">
        <v>454</v>
      </c>
      <c r="C15" s="891"/>
      <c r="D15" s="690" t="s">
        <v>452</v>
      </c>
      <c r="E15" s="663"/>
      <c r="F15" s="659"/>
      <c r="G15" s="659"/>
      <c r="H15" s="659"/>
      <c r="I15" s="663"/>
      <c r="J15" s="659"/>
      <c r="K15" s="659"/>
      <c r="L15" s="659"/>
      <c r="M15" s="464"/>
    </row>
    <row r="16" spans="1:16" ht="18.75" thickBot="1" x14ac:dyDescent="0.25">
      <c r="A16" s="688" t="s">
        <v>448</v>
      </c>
      <c r="B16" s="892" t="s">
        <v>455</v>
      </c>
      <c r="C16" s="893"/>
      <c r="D16" s="691" t="s">
        <v>453</v>
      </c>
      <c r="E16" s="663"/>
      <c r="F16" s="659"/>
      <c r="G16" s="659"/>
      <c r="H16" s="659"/>
      <c r="I16" s="663"/>
      <c r="J16" s="659"/>
      <c r="K16" s="659"/>
      <c r="L16" s="659"/>
      <c r="M16" s="464"/>
    </row>
    <row r="17" spans="1:9" ht="13.5" thickBot="1" x14ac:dyDescent="0.25">
      <c r="F17" s="676"/>
      <c r="G17" s="485"/>
      <c r="H17" s="485"/>
    </row>
    <row r="18" spans="1:9" ht="29.25" customHeight="1" thickBot="1" x14ac:dyDescent="0.25">
      <c r="A18" s="881" t="s">
        <v>468</v>
      </c>
      <c r="B18" s="882"/>
      <c r="C18" s="882"/>
      <c r="D18" s="882"/>
      <c r="E18" s="882"/>
      <c r="F18" s="883"/>
      <c r="G18" s="883"/>
      <c r="H18" s="883"/>
      <c r="I18" s="884"/>
    </row>
    <row r="19" spans="1:9" ht="13.5" thickBot="1" x14ac:dyDescent="0.25">
      <c r="A19" s="692" t="s">
        <v>460</v>
      </c>
      <c r="B19" s="896" t="s">
        <v>42</v>
      </c>
      <c r="C19" s="897"/>
      <c r="D19" s="898"/>
      <c r="E19" s="899"/>
      <c r="F19" s="839" t="s">
        <v>13</v>
      </c>
      <c r="G19" s="840"/>
      <c r="H19" s="885" t="s">
        <v>461</v>
      </c>
      <c r="I19" s="886"/>
    </row>
    <row r="20" spans="1:9" ht="17.25" customHeight="1" x14ac:dyDescent="0.2">
      <c r="A20" s="693">
        <v>1</v>
      </c>
      <c r="B20" s="833" t="s">
        <v>462</v>
      </c>
      <c r="C20" s="834"/>
      <c r="D20" s="835"/>
      <c r="E20" s="836"/>
      <c r="F20" s="841" t="s">
        <v>469</v>
      </c>
      <c r="G20" s="842"/>
      <c r="H20" s="887">
        <v>2</v>
      </c>
      <c r="I20" s="888"/>
    </row>
    <row r="21" spans="1:9" ht="18.75" customHeight="1" x14ac:dyDescent="0.2">
      <c r="A21" s="693">
        <v>2</v>
      </c>
      <c r="B21" s="825" t="s">
        <v>458</v>
      </c>
      <c r="C21" s="826"/>
      <c r="D21" s="837"/>
      <c r="E21" s="838"/>
      <c r="F21" s="821" t="s">
        <v>457</v>
      </c>
      <c r="G21" s="822"/>
      <c r="H21" s="819">
        <v>2</v>
      </c>
      <c r="I21" s="820"/>
    </row>
    <row r="22" spans="1:9" ht="18.75" customHeight="1" x14ac:dyDescent="0.2">
      <c r="A22" s="693">
        <v>3</v>
      </c>
      <c r="B22" s="825" t="s">
        <v>507</v>
      </c>
      <c r="C22" s="873"/>
      <c r="D22" s="873"/>
      <c r="E22" s="874"/>
      <c r="F22" s="821" t="s">
        <v>508</v>
      </c>
      <c r="G22" s="822"/>
      <c r="H22" s="819">
        <v>2</v>
      </c>
      <c r="I22" s="820"/>
    </row>
    <row r="23" spans="1:9" ht="16.5" customHeight="1" x14ac:dyDescent="0.2">
      <c r="A23" s="693">
        <v>4</v>
      </c>
      <c r="B23" s="825" t="s">
        <v>470</v>
      </c>
      <c r="C23" s="826" t="s">
        <v>430</v>
      </c>
      <c r="D23" s="827"/>
      <c r="E23" s="828"/>
      <c r="F23" s="821" t="s">
        <v>431</v>
      </c>
      <c r="G23" s="822"/>
      <c r="H23" s="819">
        <v>1</v>
      </c>
      <c r="I23" s="820"/>
    </row>
    <row r="24" spans="1:9" ht="19.5" customHeight="1" x14ac:dyDescent="0.2">
      <c r="A24" s="693">
        <v>5</v>
      </c>
      <c r="B24" s="825" t="s">
        <v>471</v>
      </c>
      <c r="C24" s="826" t="s">
        <v>432</v>
      </c>
      <c r="D24" s="827"/>
      <c r="E24" s="828"/>
      <c r="F24" s="821" t="s">
        <v>433</v>
      </c>
      <c r="G24" s="822"/>
      <c r="H24" s="819">
        <v>1</v>
      </c>
      <c r="I24" s="820"/>
    </row>
    <row r="25" spans="1:9" ht="18" customHeight="1" thickBot="1" x14ac:dyDescent="0.25">
      <c r="A25" s="693">
        <v>6</v>
      </c>
      <c r="B25" s="829" t="s">
        <v>472</v>
      </c>
      <c r="C25" s="830" t="s">
        <v>434</v>
      </c>
      <c r="D25" s="831"/>
      <c r="E25" s="832"/>
      <c r="F25" s="823" t="s">
        <v>435</v>
      </c>
      <c r="G25" s="824"/>
      <c r="H25" s="894">
        <v>2</v>
      </c>
      <c r="I25" s="895"/>
    </row>
    <row r="26" spans="1:9" ht="24" thickBot="1" x14ac:dyDescent="0.25">
      <c r="A26" s="875" t="s">
        <v>506</v>
      </c>
      <c r="B26" s="876"/>
      <c r="C26" s="876"/>
      <c r="D26" s="876"/>
      <c r="E26" s="876"/>
      <c r="F26" s="876"/>
      <c r="G26" s="877"/>
      <c r="H26" s="877"/>
      <c r="I26" s="878"/>
    </row>
    <row r="27" spans="1:9" x14ac:dyDescent="0.2">
      <c r="F27" s="676"/>
      <c r="G27" s="485"/>
      <c r="H27" s="485"/>
    </row>
    <row r="28" spans="1:9" x14ac:dyDescent="0.2">
      <c r="F28" s="676"/>
      <c r="G28" s="485"/>
      <c r="H28" s="485"/>
    </row>
    <row r="29" spans="1:9" x14ac:dyDescent="0.2">
      <c r="F29" s="676"/>
      <c r="G29" s="485"/>
      <c r="H29" s="485"/>
    </row>
  </sheetData>
  <sheetProtection algorithmName="SHA-512" hashValue="n5FvQzK7fg6ojPwxwMBFjiq8WhQjz4wSubXyZdKGareWEPLIm9h2zVotd+doUcQ0uMWTAXIdBhjxh+glXMB/Fw==" saltValue="T69msNz6Gxbja36LrxOX0A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C4:D9" name="Диапазон1"/>
  </protectedRanges>
  <mergeCells count="44">
    <mergeCell ref="A26:I26"/>
    <mergeCell ref="B13:C13"/>
    <mergeCell ref="A18:I18"/>
    <mergeCell ref="H19:I19"/>
    <mergeCell ref="H20:I20"/>
    <mergeCell ref="H21:I21"/>
    <mergeCell ref="D13:D14"/>
    <mergeCell ref="B14:C14"/>
    <mergeCell ref="B15:C15"/>
    <mergeCell ref="B16:C16"/>
    <mergeCell ref="H23:I23"/>
    <mergeCell ref="H24:I24"/>
    <mergeCell ref="H25:I25"/>
    <mergeCell ref="B19:E19"/>
    <mergeCell ref="A6:B6"/>
    <mergeCell ref="G6:J6"/>
    <mergeCell ref="A1:L1"/>
    <mergeCell ref="A2:K2"/>
    <mergeCell ref="G3:J3"/>
    <mergeCell ref="G4:J4"/>
    <mergeCell ref="G5:J5"/>
    <mergeCell ref="I11:I12"/>
    <mergeCell ref="J11:L11"/>
    <mergeCell ref="A7:B7"/>
    <mergeCell ref="G7:J7"/>
    <mergeCell ref="A8:B8"/>
    <mergeCell ref="G8:J8"/>
    <mergeCell ref="A9:B9"/>
    <mergeCell ref="G9:J9"/>
    <mergeCell ref="B12:C12"/>
    <mergeCell ref="B20:E20"/>
    <mergeCell ref="B21:E21"/>
    <mergeCell ref="F19:G19"/>
    <mergeCell ref="F20:G20"/>
    <mergeCell ref="F21:G21"/>
    <mergeCell ref="H22:I22"/>
    <mergeCell ref="F23:G23"/>
    <mergeCell ref="F24:G24"/>
    <mergeCell ref="F25:G25"/>
    <mergeCell ref="B23:E23"/>
    <mergeCell ref="B24:E24"/>
    <mergeCell ref="B25:E25"/>
    <mergeCell ref="F22:G22"/>
    <mergeCell ref="B22:E22"/>
  </mergeCells>
  <conditionalFormatting sqref="G4:J9">
    <cfRule type="containsText" dxfId="99" priority="1" operator="containsText" text="увеличьте">
      <formula>NOT(ISERROR(SEARCH("увеличьте",G4)))</formula>
    </cfRule>
    <cfRule type="containsText" dxfId="98" priority="2" operator="containsText" text="уменьшите">
      <formula>NOT(ISERROR(SEARCH("уменьшите",G4)))</formula>
    </cfRule>
    <cfRule type="containsText" dxfId="97" priority="3" operator="containsText" text="увеличте">
      <formula>NOT(ISERROR(SEARCH("увеличте",G4)))</formula>
    </cfRule>
  </conditionalFormatting>
  <hyperlinks>
    <hyperlink ref="M1" location="Содержание!A1" display="← СОДЕРЖАНИЕ:" xr:uid="{00000000-0004-0000-05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</sheetPr>
  <dimension ref="A1:J29"/>
  <sheetViews>
    <sheetView showGridLines="0" zoomScale="90" zoomScaleNormal="90" workbookViewId="0">
      <selection activeCell="J1" sqref="J1"/>
    </sheetView>
  </sheetViews>
  <sheetFormatPr defaultRowHeight="12.75" x14ac:dyDescent="0.2"/>
  <cols>
    <col min="1" max="1" width="39.5703125" customWidth="1"/>
    <col min="2" max="2" width="12.140625" customWidth="1"/>
    <col min="3" max="3" width="13.7109375" customWidth="1"/>
    <col min="4" max="4" width="12.5703125" customWidth="1"/>
    <col min="5" max="5" width="12" customWidth="1"/>
    <col min="6" max="6" width="14.28515625" customWidth="1"/>
    <col min="7" max="7" width="25.28515625" customWidth="1"/>
    <col min="8" max="8" width="25.5703125" customWidth="1"/>
    <col min="9" max="9" width="26.42578125" customWidth="1"/>
    <col min="10" max="10" width="20.7109375" customWidth="1"/>
    <col min="11" max="11" width="9.140625" customWidth="1"/>
  </cols>
  <sheetData>
    <row r="1" spans="1:10" ht="46.5" customHeight="1" thickBot="1" x14ac:dyDescent="0.25">
      <c r="A1" s="929"/>
      <c r="B1" s="930"/>
      <c r="C1" s="930"/>
      <c r="D1" s="930"/>
      <c r="E1" s="930"/>
      <c r="F1" s="930"/>
      <c r="G1" s="931"/>
      <c r="H1" s="931"/>
      <c r="I1" s="931"/>
      <c r="J1" s="338" t="s">
        <v>295</v>
      </c>
    </row>
    <row r="2" spans="1:10" ht="23.25" customHeight="1" thickBot="1" x14ac:dyDescent="0.25">
      <c r="A2" s="932" t="s">
        <v>474</v>
      </c>
      <c r="B2" s="884"/>
      <c r="C2" s="932" t="s">
        <v>25</v>
      </c>
      <c r="D2" s="883"/>
      <c r="E2" s="884"/>
      <c r="F2" s="936" t="s">
        <v>403</v>
      </c>
      <c r="G2" s="911"/>
      <c r="H2" s="911"/>
      <c r="I2" s="912"/>
    </row>
    <row r="3" spans="1:10" ht="18.75" customHeight="1" thickBot="1" x14ac:dyDescent="0.25">
      <c r="A3" s="933"/>
      <c r="B3" s="934"/>
      <c r="C3" s="933"/>
      <c r="D3" s="935"/>
      <c r="E3" s="934"/>
      <c r="F3" s="937" t="s">
        <v>478</v>
      </c>
      <c r="G3" s="912"/>
      <c r="H3" s="937" t="s">
        <v>479</v>
      </c>
      <c r="I3" s="912"/>
    </row>
    <row r="4" spans="1:10" ht="20.25" customHeight="1" thickBot="1" x14ac:dyDescent="0.25">
      <c r="A4" s="922" t="s">
        <v>473</v>
      </c>
      <c r="B4" s="912"/>
      <c r="C4" s="910" t="s">
        <v>480</v>
      </c>
      <c r="D4" s="911"/>
      <c r="E4" s="912"/>
      <c r="F4" s="913" t="s">
        <v>484</v>
      </c>
      <c r="G4" s="770"/>
      <c r="H4" s="914"/>
      <c r="I4" s="938"/>
    </row>
    <row r="5" spans="1:10" ht="24.75" customHeight="1" thickBot="1" x14ac:dyDescent="0.25">
      <c r="A5" s="922" t="s">
        <v>475</v>
      </c>
      <c r="B5" s="912"/>
      <c r="C5" s="910" t="s">
        <v>481</v>
      </c>
      <c r="D5" s="911"/>
      <c r="E5" s="912"/>
      <c r="F5" s="913" t="s">
        <v>485</v>
      </c>
      <c r="G5" s="770"/>
      <c r="H5" s="916"/>
      <c r="I5" s="917"/>
    </row>
    <row r="6" spans="1:10" ht="23.25" customHeight="1" thickBot="1" x14ac:dyDescent="0.25">
      <c r="A6" s="922" t="s">
        <v>476</v>
      </c>
      <c r="B6" s="912"/>
      <c r="C6" s="910" t="s">
        <v>482</v>
      </c>
      <c r="D6" s="911"/>
      <c r="E6" s="912"/>
      <c r="F6" s="914"/>
      <c r="G6" s="915"/>
      <c r="H6" s="913" t="s">
        <v>486</v>
      </c>
      <c r="I6" s="770"/>
    </row>
    <row r="7" spans="1:10" ht="26.25" customHeight="1" thickBot="1" x14ac:dyDescent="0.25">
      <c r="A7" s="922" t="s">
        <v>477</v>
      </c>
      <c r="B7" s="912"/>
      <c r="C7" s="910" t="s">
        <v>483</v>
      </c>
      <c r="D7" s="911"/>
      <c r="E7" s="912"/>
      <c r="F7" s="916"/>
      <c r="G7" s="917"/>
      <c r="H7" s="913" t="s">
        <v>487</v>
      </c>
      <c r="I7" s="770"/>
    </row>
    <row r="8" spans="1:10" ht="16.5" customHeight="1" thickBot="1" x14ac:dyDescent="0.25">
      <c r="A8" s="923" t="s">
        <v>157</v>
      </c>
      <c r="B8" s="924"/>
      <c r="C8" s="925"/>
      <c r="D8" s="925"/>
      <c r="E8" s="925"/>
      <c r="F8" s="925"/>
      <c r="G8" s="925"/>
      <c r="H8" s="925"/>
      <c r="I8" s="925"/>
    </row>
    <row r="9" spans="1:10" ht="47.25" customHeight="1" thickBot="1" x14ac:dyDescent="0.25">
      <c r="A9" s="118" t="s">
        <v>125</v>
      </c>
      <c r="B9" s="411" t="s">
        <v>334</v>
      </c>
      <c r="C9" s="395" t="s">
        <v>15</v>
      </c>
      <c r="D9" s="395" t="s">
        <v>14</v>
      </c>
      <c r="E9" s="412" t="s">
        <v>182</v>
      </c>
      <c r="F9" s="403" t="s">
        <v>20</v>
      </c>
      <c r="G9" s="277" t="s">
        <v>130</v>
      </c>
      <c r="H9" s="386" t="s">
        <v>132</v>
      </c>
      <c r="I9" s="404"/>
    </row>
    <row r="10" spans="1:10" ht="33" customHeight="1" thickBot="1" x14ac:dyDescent="0.25">
      <c r="A10" s="307" t="s">
        <v>339</v>
      </c>
      <c r="B10" s="509">
        <v>19</v>
      </c>
      <c r="C10" s="142">
        <v>389</v>
      </c>
      <c r="D10" s="143">
        <v>1800</v>
      </c>
      <c r="E10" s="399">
        <v>100</v>
      </c>
      <c r="F10" s="400">
        <f>(C10/1000)*(D10/1000)*B10*(680/1000)+(E10/1000)</f>
        <v>9.1465840000000007</v>
      </c>
      <c r="G10" s="401" t="str">
        <f>IF(F10&lt;1.5,"Очень лёгкий фасад", IF(F10&gt;14,"Очень тяжёлый фасад", IF(D10&gt;1800,"Уменьшите ширину фасада (макс. 1800 мм)",IF(H10="Рычаг L32 (22L3200)","Силовой механизм 22 (22L2200)",IF(H10="Рычаг L35 (22L3500)","Силовой механизм 22 (22L2200)",IF(H10="Рычаг L38 (22L3800)","Силовой механизм 25 (22L2500)",IF(H10="Рычаг L39 (22L3900)","Силовой механизм 25 (22L2500)",)))))))</f>
        <v>Силовой механизм 22 (22L2200)</v>
      </c>
      <c r="H10" s="402" t="str">
        <f>IF(C10&lt;300,"недопустимая высота корпуса (мин. от 300 мм)",IF(C10&lt;340,"Рычаг L32 (22L3200)",IF(C10&lt;390,"Рычаг L35 (22L3500)",IF(C10&lt;540,"Рычаг L38 (22L3800)",IF(C10&lt;581,"Рычаг L39 (22L3900)",IF(C10&gt;580,"недопустимая высота корпуса (макс. до 580 мм)",))))))</f>
        <v>Рычаг L35 (22L3500)</v>
      </c>
      <c r="I10" s="405"/>
      <c r="J10" s="7"/>
    </row>
    <row r="11" spans="1:10" ht="30" customHeight="1" thickBot="1" x14ac:dyDescent="0.25">
      <c r="A11" s="700" t="s">
        <v>341</v>
      </c>
      <c r="B11" s="701">
        <v>19</v>
      </c>
      <c r="C11" s="702">
        <v>580</v>
      </c>
      <c r="D11" s="703">
        <v>800</v>
      </c>
      <c r="E11" s="703">
        <v>0</v>
      </c>
      <c r="F11" s="673">
        <f>(C11/1000)*(D11/1000)*B11*(760/1000)+(E11/1000)</f>
        <v>6.7001599999999994</v>
      </c>
      <c r="G11" s="694" t="str">
        <f t="shared" ref="G11:G15" si="0">IF(F11&lt;1.5,"Очень лёгкий фасад", IF(F11&gt;14,"Очень тяжёлый фасад", IF(D11&gt;1800,"Уменьшите ширину фасада (макс. 1800 мм)",IF(H11="Рычаг L32 (22L3200)","Силовой механизм 22 (22L2200)",IF(H11="Рычаг L35 (22L3500)","Силовой механизм 22 (22L2200)",IF(H11="Рычаг L38 (22L3800)","Силовой механизм 25 (22L2500)",IF(H11="Рычаг L39 (22L3900)","Силовой механизм 25 (22L2500)",)))))))</f>
        <v>Силовой механизм 25 (22L2500)</v>
      </c>
      <c r="H11" s="695" t="str">
        <f t="shared" ref="H11:H15" si="1">IF(C11&lt;300,"недопустимая высота корпуса (мин. от 300 мм)",IF(C11&lt;340,"Рычаг L32 (22L3200)",IF(C11&lt;390,"Рычаг L35 (22L3500)",IF(C11&lt;540,"Рычаг L38 (22L3800)",IF(C11&lt;581,"Рычаг L39 (22L3900)",IF(C11&gt;580,"недопустимая высота корпуса (макс. до 580 мм)",))))))</f>
        <v>Рычаг L39 (22L3900)</v>
      </c>
      <c r="I11" s="405"/>
      <c r="J11" s="7"/>
    </row>
    <row r="12" spans="1:10" ht="28.5" customHeight="1" thickBot="1" x14ac:dyDescent="0.25">
      <c r="A12" s="926" t="s">
        <v>36</v>
      </c>
      <c r="B12" s="907"/>
      <c r="C12" s="140">
        <v>580</v>
      </c>
      <c r="D12" s="141">
        <v>800</v>
      </c>
      <c r="E12" s="396">
        <v>0</v>
      </c>
      <c r="F12" s="397">
        <f>(C12)/1000*(D12)/1000*(11.5+0.3)+(E12/1000)</f>
        <v>5.4752000000000001</v>
      </c>
      <c r="G12" s="401" t="str">
        <f t="shared" si="0"/>
        <v>Силовой механизм 25 (22L2500)</v>
      </c>
      <c r="H12" s="402" t="str">
        <f t="shared" si="1"/>
        <v>Рычаг L39 (22L3900)</v>
      </c>
      <c r="I12" s="405"/>
    </row>
    <row r="13" spans="1:10" ht="28.5" customHeight="1" thickBot="1" x14ac:dyDescent="0.25">
      <c r="A13" s="927" t="s">
        <v>50</v>
      </c>
      <c r="B13" s="928"/>
      <c r="C13" s="702">
        <v>400</v>
      </c>
      <c r="D13" s="703">
        <v>800</v>
      </c>
      <c r="E13" s="703">
        <v>0</v>
      </c>
      <c r="F13" s="673">
        <f>(C13)/1000*(D13)/1000*(11.5+0.3)+(E13/1000)</f>
        <v>3.7760000000000002</v>
      </c>
      <c r="G13" s="694" t="str">
        <f t="shared" si="0"/>
        <v>Силовой механизм 25 (22L2500)</v>
      </c>
      <c r="H13" s="695" t="str">
        <f t="shared" si="1"/>
        <v>Рычаг L38 (22L3800)</v>
      </c>
      <c r="I13" s="405"/>
    </row>
    <row r="14" spans="1:10" ht="27.75" customHeight="1" thickBot="1" x14ac:dyDescent="0.25">
      <c r="A14" s="906" t="s">
        <v>172</v>
      </c>
      <c r="B14" s="907"/>
      <c r="C14" s="142">
        <v>580</v>
      </c>
      <c r="D14" s="143">
        <v>800</v>
      </c>
      <c r="E14" s="396">
        <v>0</v>
      </c>
      <c r="F14" s="398">
        <f>(C14)/1000*(D14)/1000*(8.8+0.3)+(E14/1000)</f>
        <v>4.2224000000000004</v>
      </c>
      <c r="G14" s="401" t="str">
        <f t="shared" si="0"/>
        <v>Силовой механизм 25 (22L2500)</v>
      </c>
      <c r="H14" s="402" t="str">
        <f t="shared" si="1"/>
        <v>Рычаг L39 (22L3900)</v>
      </c>
      <c r="I14" s="405"/>
    </row>
    <row r="15" spans="1:10" ht="35.25" customHeight="1" thickBot="1" x14ac:dyDescent="0.25">
      <c r="A15" s="908" t="s">
        <v>333</v>
      </c>
      <c r="B15" s="909"/>
      <c r="C15" s="696">
        <v>400</v>
      </c>
      <c r="D15" s="697">
        <v>800</v>
      </c>
      <c r="E15" s="698">
        <v>0</v>
      </c>
      <c r="F15" s="699">
        <f>(C15)/1000*(D15)/1000*4*(2500/1000)+(C15)/1000*(D15)/1000*16*(680/1000)+(E15/1000)</f>
        <v>6.6816000000000004</v>
      </c>
      <c r="G15" s="694" t="str">
        <f t="shared" si="0"/>
        <v>Силовой механизм 25 (22L2500)</v>
      </c>
      <c r="H15" s="695" t="str">
        <f t="shared" si="1"/>
        <v>Рычаг L38 (22L3800)</v>
      </c>
      <c r="I15" s="406"/>
    </row>
    <row r="16" spans="1:10" ht="19.5" customHeight="1" thickBot="1" x14ac:dyDescent="0.25">
      <c r="A16" s="312" t="s">
        <v>210</v>
      </c>
      <c r="B16" s="312"/>
    </row>
    <row r="17" spans="1:9" ht="23.25" x14ac:dyDescent="0.2">
      <c r="A17" s="918" t="s">
        <v>504</v>
      </c>
      <c r="B17" s="919"/>
      <c r="C17" s="920"/>
      <c r="D17" s="920"/>
      <c r="E17" s="920"/>
      <c r="F17" s="920"/>
      <c r="G17" s="920"/>
      <c r="H17" s="920"/>
      <c r="I17" s="921"/>
    </row>
    <row r="18" spans="1:9" ht="24.6" customHeight="1" x14ac:dyDescent="0.2">
      <c r="A18" s="67">
        <v>1</v>
      </c>
      <c r="B18" s="22" t="s">
        <v>492</v>
      </c>
      <c r="C18" s="900" t="s">
        <v>488</v>
      </c>
      <c r="D18" s="900"/>
      <c r="E18" s="901"/>
      <c r="F18" s="67" t="s">
        <v>489</v>
      </c>
      <c r="G18" s="67">
        <v>2</v>
      </c>
      <c r="H18" s="68"/>
      <c r="I18" s="68"/>
    </row>
    <row r="19" spans="1:9" ht="26.25" customHeight="1" x14ac:dyDescent="0.2">
      <c r="A19" s="67">
        <v>3</v>
      </c>
      <c r="B19" s="22" t="s">
        <v>492</v>
      </c>
      <c r="C19" s="900" t="s">
        <v>490</v>
      </c>
      <c r="D19" s="900"/>
      <c r="E19" s="901"/>
      <c r="F19" s="67" t="s">
        <v>491</v>
      </c>
      <c r="G19" s="67">
        <v>2</v>
      </c>
      <c r="H19" s="89"/>
      <c r="I19" s="68"/>
    </row>
    <row r="20" spans="1:9" ht="21" customHeight="1" x14ac:dyDescent="0.2">
      <c r="A20" s="67">
        <v>4</v>
      </c>
      <c r="B20" s="22" t="s">
        <v>492</v>
      </c>
      <c r="C20" s="900" t="s">
        <v>470</v>
      </c>
      <c r="D20" s="900" t="s">
        <v>430</v>
      </c>
      <c r="E20" s="900"/>
      <c r="F20" s="67" t="s">
        <v>431</v>
      </c>
      <c r="G20" s="67">
        <v>1</v>
      </c>
      <c r="H20" s="67"/>
      <c r="I20" s="67"/>
    </row>
    <row r="21" spans="1:9" ht="22.5" customHeight="1" x14ac:dyDescent="0.2">
      <c r="A21" s="67">
        <v>5</v>
      </c>
      <c r="B21" s="22" t="s">
        <v>492</v>
      </c>
      <c r="C21" s="900" t="s">
        <v>471</v>
      </c>
      <c r="D21" s="900" t="s">
        <v>432</v>
      </c>
      <c r="E21" s="900"/>
      <c r="F21" s="67" t="s">
        <v>433</v>
      </c>
      <c r="G21" s="67">
        <v>1</v>
      </c>
      <c r="H21" s="67"/>
      <c r="I21" s="67"/>
    </row>
    <row r="22" spans="1:9" ht="23.25" customHeight="1" x14ac:dyDescent="0.2">
      <c r="A22" s="67">
        <v>6</v>
      </c>
      <c r="B22" s="22" t="s">
        <v>492</v>
      </c>
      <c r="C22" s="900" t="s">
        <v>472</v>
      </c>
      <c r="D22" s="900" t="s">
        <v>434</v>
      </c>
      <c r="E22" s="900"/>
      <c r="F22" s="67" t="s">
        <v>435</v>
      </c>
      <c r="G22" s="67">
        <v>2</v>
      </c>
      <c r="H22" s="68"/>
      <c r="I22" s="68"/>
    </row>
    <row r="23" spans="1:9" ht="22.5" customHeight="1" x14ac:dyDescent="0.2">
      <c r="A23" s="67">
        <v>7</v>
      </c>
      <c r="B23" s="22" t="s">
        <v>492</v>
      </c>
      <c r="C23" s="900" t="s">
        <v>38</v>
      </c>
      <c r="D23" s="900"/>
      <c r="E23" s="900"/>
      <c r="F23" s="67" t="s">
        <v>22</v>
      </c>
      <c r="G23" s="67">
        <v>2</v>
      </c>
      <c r="H23" s="67" t="s">
        <v>505</v>
      </c>
      <c r="I23" s="67" t="s">
        <v>26</v>
      </c>
    </row>
    <row r="24" spans="1:9" ht="27.75" customHeight="1" x14ac:dyDescent="0.2">
      <c r="A24" s="67">
        <v>8</v>
      </c>
      <c r="B24" s="22" t="s">
        <v>492</v>
      </c>
      <c r="C24" s="900" t="s">
        <v>497</v>
      </c>
      <c r="D24" s="900"/>
      <c r="E24" s="900"/>
      <c r="F24" s="67" t="s">
        <v>493</v>
      </c>
      <c r="G24" s="67">
        <v>1</v>
      </c>
      <c r="H24" s="67"/>
      <c r="I24" s="705"/>
    </row>
    <row r="25" spans="1:9" ht="21" customHeight="1" x14ac:dyDescent="0.2">
      <c r="A25" s="67">
        <v>9</v>
      </c>
      <c r="B25" s="22" t="s">
        <v>492</v>
      </c>
      <c r="C25" s="900" t="s">
        <v>494</v>
      </c>
      <c r="D25" s="900"/>
      <c r="E25" s="900"/>
      <c r="F25" s="67" t="s">
        <v>500</v>
      </c>
      <c r="G25" s="67">
        <v>2</v>
      </c>
      <c r="H25" s="89"/>
      <c r="I25" s="705"/>
    </row>
    <row r="26" spans="1:9" ht="24" customHeight="1" x14ac:dyDescent="0.2">
      <c r="A26" s="67">
        <v>10</v>
      </c>
      <c r="B26" s="22" t="s">
        <v>492</v>
      </c>
      <c r="C26" s="900" t="s">
        <v>495</v>
      </c>
      <c r="D26" s="900"/>
      <c r="E26" s="901"/>
      <c r="F26" s="67" t="s">
        <v>501</v>
      </c>
      <c r="G26" s="67">
        <v>1</v>
      </c>
      <c r="H26" s="89"/>
      <c r="I26" s="67"/>
    </row>
    <row r="27" spans="1:9" ht="24" customHeight="1" x14ac:dyDescent="0.2">
      <c r="A27" s="67">
        <v>11</v>
      </c>
      <c r="B27" s="22" t="s">
        <v>492</v>
      </c>
      <c r="C27" s="900" t="s">
        <v>496</v>
      </c>
      <c r="D27" s="900"/>
      <c r="E27" s="901"/>
      <c r="F27" s="67" t="s">
        <v>502</v>
      </c>
      <c r="G27" s="67">
        <v>1</v>
      </c>
      <c r="H27" s="89"/>
      <c r="I27" s="67"/>
    </row>
    <row r="28" spans="1:9" ht="21.75" customHeight="1" thickBot="1" x14ac:dyDescent="0.25">
      <c r="A28" s="67">
        <v>12</v>
      </c>
      <c r="B28" s="22" t="s">
        <v>492</v>
      </c>
      <c r="C28" s="900" t="s">
        <v>499</v>
      </c>
      <c r="D28" s="900"/>
      <c r="E28" s="901"/>
      <c r="F28" s="67" t="s">
        <v>498</v>
      </c>
      <c r="G28" s="67">
        <v>1</v>
      </c>
      <c r="H28" s="89"/>
      <c r="I28" s="67"/>
    </row>
    <row r="29" spans="1:9" ht="24" thickBot="1" x14ac:dyDescent="0.25">
      <c r="A29" s="902" t="s">
        <v>503</v>
      </c>
      <c r="B29" s="903"/>
      <c r="C29" s="904"/>
      <c r="D29" s="904"/>
      <c r="E29" s="904"/>
      <c r="F29" s="904"/>
      <c r="G29" s="904"/>
      <c r="H29" s="904"/>
      <c r="I29" s="905"/>
    </row>
  </sheetData>
  <sheetProtection algorithmName="SHA-512" hashValue="t0ebKN9NcSxRMNNwhsUkKqLZff+awdDQF4NoafNH20hCCCmWTHI3sjIo1dWQds5fYqlch5Lf1nE7aL1tGLUZVw==" saltValue="+AEVDZBr5xfun7RVZb1gZg==" spinCount="100000" sheet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mergeCells count="38">
    <mergeCell ref="F5:G5"/>
    <mergeCell ref="A4:B4"/>
    <mergeCell ref="A1:I1"/>
    <mergeCell ref="A2:B3"/>
    <mergeCell ref="C2:E3"/>
    <mergeCell ref="F2:I2"/>
    <mergeCell ref="F3:G3"/>
    <mergeCell ref="H3:I3"/>
    <mergeCell ref="C4:E4"/>
    <mergeCell ref="F4:G4"/>
    <mergeCell ref="H4:I5"/>
    <mergeCell ref="A5:B5"/>
    <mergeCell ref="H6:I6"/>
    <mergeCell ref="H7:I7"/>
    <mergeCell ref="F6:G7"/>
    <mergeCell ref="C28:E28"/>
    <mergeCell ref="C7:E7"/>
    <mergeCell ref="C24:E24"/>
    <mergeCell ref="C25:E25"/>
    <mergeCell ref="C26:E26"/>
    <mergeCell ref="C18:E18"/>
    <mergeCell ref="C23:E23"/>
    <mergeCell ref="A17:I17"/>
    <mergeCell ref="A6:B6"/>
    <mergeCell ref="A7:B7"/>
    <mergeCell ref="A8:I8"/>
    <mergeCell ref="A12:B12"/>
    <mergeCell ref="A13:B13"/>
    <mergeCell ref="A14:B14"/>
    <mergeCell ref="A15:B15"/>
    <mergeCell ref="C5:E5"/>
    <mergeCell ref="C6:E6"/>
    <mergeCell ref="C19:E19"/>
    <mergeCell ref="C20:E20"/>
    <mergeCell ref="C21:E21"/>
    <mergeCell ref="C27:E27"/>
    <mergeCell ref="A29:I29"/>
    <mergeCell ref="C22:E22"/>
  </mergeCells>
  <phoneticPr fontId="174" type="noConversion"/>
  <conditionalFormatting sqref="G10:G15">
    <cfRule type="containsText" dxfId="96" priority="1" operator="containsText" text="фасад">
      <formula>NOT(ISERROR(SEARCH("фасад",G10)))</formula>
    </cfRule>
  </conditionalFormatting>
  <conditionalFormatting sqref="G10:H15">
    <cfRule type="containsText" dxfId="95" priority="2" operator="containsText" text="очень">
      <formula>NOT(ISERROR(SEARCH("очень",G10)))</formula>
    </cfRule>
  </conditionalFormatting>
  <conditionalFormatting sqref="H10:H15">
    <cfRule type="containsText" dxfId="94" priority="3" operator="containsText" text="недопустимая">
      <formula>NOT(ISERROR(SEARCH("недопустимая",H10)))</formula>
    </cfRule>
  </conditionalFormatting>
  <hyperlinks>
    <hyperlink ref="J1" location="Содержание!A1" display="← СОДЕРЖАНИЕ:" xr:uid="{00000000-0004-0000-07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>
    <tabColor indexed="44"/>
  </sheetPr>
  <dimension ref="A1:L59"/>
  <sheetViews>
    <sheetView showGridLines="0" zoomScaleNormal="100" workbookViewId="0">
      <selection activeCell="I1" sqref="I1"/>
    </sheetView>
  </sheetViews>
  <sheetFormatPr defaultRowHeight="12.75" x14ac:dyDescent="0.2"/>
  <cols>
    <col min="1" max="1" width="40" customWidth="1"/>
    <col min="2" max="2" width="10.7109375" customWidth="1"/>
    <col min="3" max="3" width="14.42578125" customWidth="1"/>
    <col min="4" max="4" width="12.7109375" customWidth="1"/>
    <col min="5" max="5" width="11.140625" customWidth="1"/>
    <col min="6" max="6" width="17.5703125" customWidth="1"/>
    <col min="7" max="7" width="15.42578125" customWidth="1"/>
    <col min="8" max="8" width="32.28515625" customWidth="1"/>
    <col min="9" max="9" width="19.85546875" customWidth="1"/>
    <col min="10" max="10" width="12" customWidth="1"/>
    <col min="11" max="11" width="12.7109375" customWidth="1"/>
    <col min="12" max="12" width="14.28515625" customWidth="1"/>
    <col min="13" max="14" width="11.7109375" customWidth="1"/>
  </cols>
  <sheetData>
    <row r="1" spans="1:12" ht="47.25" customHeight="1" thickBot="1" x14ac:dyDescent="0.25">
      <c r="A1" s="942"/>
      <c r="B1" s="943"/>
      <c r="C1" s="943"/>
      <c r="D1" s="943"/>
      <c r="E1" s="943"/>
      <c r="F1" s="943"/>
      <c r="G1" s="943"/>
      <c r="H1" s="912"/>
      <c r="I1" s="520" t="s">
        <v>295</v>
      </c>
    </row>
    <row r="2" spans="1:12" ht="24.95" customHeight="1" thickBot="1" x14ac:dyDescent="0.25">
      <c r="A2" s="944" t="s">
        <v>42</v>
      </c>
      <c r="B2" s="884"/>
      <c r="C2" s="946" t="s">
        <v>140</v>
      </c>
      <c r="D2" s="947"/>
      <c r="E2" s="770"/>
      <c r="F2" s="951" t="s">
        <v>41</v>
      </c>
      <c r="G2" s="952"/>
      <c r="H2" s="120"/>
    </row>
    <row r="3" spans="1:12" ht="18" customHeight="1" thickBot="1" x14ac:dyDescent="0.25">
      <c r="A3" s="945"/>
      <c r="B3" s="934"/>
      <c r="C3" s="948"/>
      <c r="D3" s="949"/>
      <c r="E3" s="950"/>
      <c r="F3" s="308" t="s">
        <v>23</v>
      </c>
      <c r="G3" s="121" t="s">
        <v>24</v>
      </c>
      <c r="H3" s="120"/>
    </row>
    <row r="4" spans="1:12" ht="21" customHeight="1" x14ac:dyDescent="0.2">
      <c r="A4" s="122" t="s">
        <v>404</v>
      </c>
      <c r="B4" s="413"/>
      <c r="C4" s="940" t="s">
        <v>351</v>
      </c>
      <c r="D4" s="940"/>
      <c r="E4" s="941"/>
      <c r="F4" s="123">
        <v>420</v>
      </c>
      <c r="G4" s="124">
        <v>1610</v>
      </c>
      <c r="H4" s="90"/>
    </row>
    <row r="5" spans="1:12" ht="21" customHeight="1" x14ac:dyDescent="0.2">
      <c r="A5" s="122" t="s">
        <v>405</v>
      </c>
      <c r="B5" s="414"/>
      <c r="C5" s="940" t="s">
        <v>352</v>
      </c>
      <c r="D5" s="940"/>
      <c r="E5" s="941"/>
      <c r="F5" s="125">
        <v>930</v>
      </c>
      <c r="G5" s="126">
        <v>2800</v>
      </c>
      <c r="H5" s="120"/>
    </row>
    <row r="6" spans="1:12" ht="20.25" customHeight="1" x14ac:dyDescent="0.2">
      <c r="A6" s="122" t="s">
        <v>406</v>
      </c>
      <c r="B6" s="414"/>
      <c r="C6" s="940" t="s">
        <v>353</v>
      </c>
      <c r="D6" s="940"/>
      <c r="E6" s="941"/>
      <c r="F6" s="125">
        <v>1730</v>
      </c>
      <c r="G6" s="126">
        <v>5200</v>
      </c>
      <c r="H6" s="120"/>
    </row>
    <row r="7" spans="1:12" ht="19.5" customHeight="1" thickBot="1" x14ac:dyDescent="0.25">
      <c r="A7" s="122" t="s">
        <v>407</v>
      </c>
      <c r="B7" s="416"/>
      <c r="C7" s="940" t="s">
        <v>354</v>
      </c>
      <c r="D7" s="940"/>
      <c r="E7" s="941"/>
      <c r="F7" s="127">
        <v>3200</v>
      </c>
      <c r="G7" s="128">
        <v>9000</v>
      </c>
      <c r="H7" s="120"/>
    </row>
    <row r="8" spans="1:12" ht="21" customHeight="1" thickBot="1" x14ac:dyDescent="0.25">
      <c r="A8" s="955" t="s">
        <v>158</v>
      </c>
      <c r="B8" s="956"/>
      <c r="C8" s="957"/>
      <c r="D8" s="957"/>
      <c r="E8" s="957"/>
      <c r="F8" s="957"/>
      <c r="G8" s="957"/>
      <c r="H8" s="958"/>
    </row>
    <row r="9" spans="1:12" ht="42" customHeight="1" thickBot="1" x14ac:dyDescent="0.25">
      <c r="A9" s="415" t="s">
        <v>125</v>
      </c>
      <c r="B9" s="521" t="s">
        <v>334</v>
      </c>
      <c r="C9" s="101" t="s">
        <v>15</v>
      </c>
      <c r="D9" s="102" t="s">
        <v>14</v>
      </c>
      <c r="E9" s="309" t="s">
        <v>182</v>
      </c>
      <c r="F9" s="103" t="s">
        <v>20</v>
      </c>
      <c r="G9" s="119" t="s">
        <v>18</v>
      </c>
      <c r="H9" s="129" t="s">
        <v>135</v>
      </c>
    </row>
    <row r="10" spans="1:12" ht="42.75" customHeight="1" thickBot="1" x14ac:dyDescent="0.25">
      <c r="A10" s="130" t="s">
        <v>342</v>
      </c>
      <c r="B10" s="427">
        <v>18</v>
      </c>
      <c r="C10" s="326">
        <v>358</v>
      </c>
      <c r="D10" s="327">
        <v>798</v>
      </c>
      <c r="E10" s="328">
        <v>0</v>
      </c>
      <c r="F10" s="131">
        <f>(C10)/1000*(D10)/1000*B10*(680/1000)+(E10/1000*2)</f>
        <v>3.4967721599999999</v>
      </c>
      <c r="G10" s="132">
        <f t="shared" ref="G10:G15" si="0">F10*C10</f>
        <v>1251.84443328</v>
      </c>
      <c r="H10" s="133" t="str">
        <f>IF(C10&lt;208,"увеличьте высоту фасада (мин. 208 мм)",IF(C10&gt;600,"уменьшите высоту фасада (макс. 600 мм)",IF(G10&lt;420,"очень лёгкий фасад, используйте механизм AVENTOS HK-S или HK-XS",IF(G10&lt;1100,"2 силовых механизма AVENTOS HK top 23",IF(G10&lt;2400,"2 силовых механизма AVENTOS HK top 25",IF(G10&lt;5100,"2 силовых механизма AVENTOS HK top 27",IF(G10&lt;9000,"2 силовых механизма AVENTOS HK top 29",IF(G10&gt;9000,"очень тяжёлый фасад",))))))))</f>
        <v>2 силовых механизма AVENTOS HK top 25</v>
      </c>
      <c r="I10" s="7"/>
    </row>
    <row r="11" spans="1:12" ht="27.75" customHeight="1" thickBot="1" x14ac:dyDescent="0.25">
      <c r="A11" s="134" t="s">
        <v>340</v>
      </c>
      <c r="B11" s="417">
        <v>19</v>
      </c>
      <c r="C11" s="329">
        <v>460</v>
      </c>
      <c r="D11" s="330">
        <v>555</v>
      </c>
      <c r="E11" s="331">
        <v>0</v>
      </c>
      <c r="F11" s="510">
        <f>(C11)/1000*(D11)/1000*B11*(760/1000)+(E11/1000*2)</f>
        <v>3.6865320000000006</v>
      </c>
      <c r="G11" s="136">
        <f t="shared" si="0"/>
        <v>1695.8047200000003</v>
      </c>
      <c r="H11" s="310" t="str">
        <f t="shared" ref="H11:H15" si="1">IF(C11&lt;208,"увеличьте высоту фасада (мин. 208 мм)",IF(C11&gt;600,"уменьшите высоту фасада (макс. 600 мм)",IF(G11&lt;420,"очень лёгкий фасад, используйте механизм AVENTOS HK-S или HK-XS",IF(G11&lt;1100,"2 силовых механизма AVENTOS HK top 23",IF(G11&lt;2400,"2 силовых механизма AVENTOS HK top 25",IF(G11&lt;5100,"2 силовых механизма AVENTOS HK top 27",IF(G11&lt;9000,"2 силовых механизма AVENTOS HK top 29",IF(G11&gt;9000,"очень тяжёлый фасад",))))))))</f>
        <v>2 силовых механизма AVENTOS HK top 25</v>
      </c>
      <c r="I11" s="26"/>
      <c r="J11" s="26"/>
      <c r="K11" s="25"/>
      <c r="L11" s="25"/>
    </row>
    <row r="12" spans="1:12" ht="25.5" customHeight="1" thickBot="1" x14ac:dyDescent="0.25">
      <c r="A12" s="906" t="s">
        <v>36</v>
      </c>
      <c r="B12" s="907"/>
      <c r="C12" s="325">
        <v>600</v>
      </c>
      <c r="D12" s="332">
        <v>600</v>
      </c>
      <c r="E12" s="333">
        <v>0</v>
      </c>
      <c r="F12" s="137">
        <f>(C12)/1000*(D12)/1000*(11.5+0.3*2)+(E12/1000*2)</f>
        <v>4.3559999999999999</v>
      </c>
      <c r="G12" s="138">
        <f t="shared" si="0"/>
        <v>2613.6</v>
      </c>
      <c r="H12" s="133" t="str">
        <f t="shared" si="1"/>
        <v>2 силовых механизма AVENTOS HK top 27</v>
      </c>
      <c r="I12" s="26"/>
      <c r="J12" s="26"/>
      <c r="K12" s="25"/>
      <c r="L12" s="25"/>
    </row>
    <row r="13" spans="1:12" ht="28.5" customHeight="1" thickBot="1" x14ac:dyDescent="0.25">
      <c r="A13" s="959" t="s">
        <v>37</v>
      </c>
      <c r="B13" s="907"/>
      <c r="C13" s="329">
        <v>600</v>
      </c>
      <c r="D13" s="334">
        <v>762</v>
      </c>
      <c r="E13" s="335">
        <v>0</v>
      </c>
      <c r="F13" s="135">
        <f>(C13)/1000*(D13)/1000*(11.5+0.3*2)+(E13/1000*2)</f>
        <v>5.5321199999999999</v>
      </c>
      <c r="G13" s="136">
        <f t="shared" si="0"/>
        <v>3319.2719999999999</v>
      </c>
      <c r="H13" s="310" t="str">
        <f t="shared" si="1"/>
        <v>2 силовых механизма AVENTOS HK top 27</v>
      </c>
    </row>
    <row r="14" spans="1:12" ht="27" customHeight="1" thickBot="1" x14ac:dyDescent="0.25">
      <c r="A14" s="906" t="s">
        <v>172</v>
      </c>
      <c r="B14" s="907"/>
      <c r="C14" s="325">
        <v>600</v>
      </c>
      <c r="D14" s="332">
        <v>500</v>
      </c>
      <c r="E14" s="333">
        <v>0</v>
      </c>
      <c r="F14" s="137">
        <f>(C14)/1000*(D14)/1000*(8.8+0.3*2)+(E14/1000*2)</f>
        <v>2.82</v>
      </c>
      <c r="G14" s="139">
        <f t="shared" si="0"/>
        <v>1692</v>
      </c>
      <c r="H14" s="133" t="str">
        <f t="shared" si="1"/>
        <v>2 силовых механизма AVENTOS HK top 25</v>
      </c>
    </row>
    <row r="15" spans="1:12" ht="29.25" customHeight="1" thickBot="1" x14ac:dyDescent="0.25">
      <c r="A15" s="953" t="s">
        <v>289</v>
      </c>
      <c r="B15" s="954"/>
      <c r="C15" s="329">
        <v>600</v>
      </c>
      <c r="D15" s="417">
        <v>600</v>
      </c>
      <c r="E15" s="417">
        <v>0</v>
      </c>
      <c r="F15" s="135">
        <f>(C15)/1000*(D15)/1000*4*(2500/1000)+(C15)/1000*(D15)/1000*16*(680/1000)+(E15/1000*2)</f>
        <v>7.5167999999999999</v>
      </c>
      <c r="G15" s="311">
        <f t="shared" si="0"/>
        <v>4510.08</v>
      </c>
      <c r="H15" s="310" t="str">
        <f t="shared" si="1"/>
        <v>2 силовых механизма AVENTOS HK top 27</v>
      </c>
    </row>
    <row r="16" spans="1:12" ht="20.25" customHeight="1" x14ac:dyDescent="0.2">
      <c r="A16" s="312" t="s">
        <v>210</v>
      </c>
      <c r="B16" s="312"/>
    </row>
    <row r="34" ht="10.5" customHeight="1" x14ac:dyDescent="0.2"/>
    <row r="35" hidden="1" x14ac:dyDescent="0.2"/>
    <row r="36" hidden="1" x14ac:dyDescent="0.2"/>
    <row r="37" hidden="1" x14ac:dyDescent="0.2"/>
    <row r="38" hidden="1" x14ac:dyDescent="0.2"/>
    <row r="58" spans="1:8" ht="13.5" thickBot="1" x14ac:dyDescent="0.25"/>
    <row r="59" spans="1:8" ht="24" thickBot="1" x14ac:dyDescent="0.25">
      <c r="A59" s="939" t="s">
        <v>464</v>
      </c>
      <c r="B59" s="911"/>
      <c r="C59" s="911"/>
      <c r="D59" s="911"/>
      <c r="E59" s="911"/>
      <c r="F59" s="911"/>
      <c r="G59" s="911"/>
      <c r="H59" s="912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mergeCells count="14">
    <mergeCell ref="A59:H59"/>
    <mergeCell ref="C5:E5"/>
    <mergeCell ref="A1:H1"/>
    <mergeCell ref="A2:B3"/>
    <mergeCell ref="C2:E3"/>
    <mergeCell ref="F2:G2"/>
    <mergeCell ref="C4:E4"/>
    <mergeCell ref="A15:B15"/>
    <mergeCell ref="C6:E6"/>
    <mergeCell ref="C7:E7"/>
    <mergeCell ref="A8:H8"/>
    <mergeCell ref="A12:B12"/>
    <mergeCell ref="A13:B13"/>
    <mergeCell ref="A14:B14"/>
  </mergeCells>
  <conditionalFormatting sqref="H10:H15">
    <cfRule type="containsText" dxfId="93" priority="1" operator="containsText" text="уменьшите высоту фасада">
      <formula>NOT(ISERROR(SEARCH("уменьшите высоту фасада",H10)))</formula>
    </cfRule>
    <cfRule type="containsText" dxfId="92" priority="2" operator="containsText" text="увеличьте высоту фасада">
      <formula>NOT(ISERROR(SEARCH("увеличьте высоту фасада",H10)))</formula>
    </cfRule>
    <cfRule type="containsText" dxfId="91" priority="7" stopIfTrue="1" operator="containsText" text="очень">
      <formula>NOT(ISERROR(SEARCH("очень",H10)))</formula>
    </cfRule>
  </conditionalFormatting>
  <hyperlinks>
    <hyperlink ref="I1" location="Содержание!R1C1" display="← СОДЕРЖАНИЕ:" xr:uid="{00000000-0004-0000-09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1">
    <tabColor indexed="47"/>
  </sheetPr>
  <dimension ref="A1:Q26"/>
  <sheetViews>
    <sheetView showGridLines="0" zoomScale="90" zoomScaleNormal="90" workbookViewId="0">
      <selection activeCell="J1" sqref="J1"/>
    </sheetView>
  </sheetViews>
  <sheetFormatPr defaultRowHeight="12.75" x14ac:dyDescent="0.2"/>
  <cols>
    <col min="1" max="1" width="43" customWidth="1"/>
    <col min="2" max="2" width="12" customWidth="1"/>
    <col min="3" max="3" width="15.7109375" customWidth="1"/>
    <col min="4" max="4" width="15" customWidth="1"/>
    <col min="5" max="5" width="12" customWidth="1"/>
    <col min="6" max="6" width="13.42578125" customWidth="1"/>
    <col min="7" max="7" width="13.140625" customWidth="1"/>
    <col min="8" max="8" width="17.7109375" customWidth="1"/>
    <col min="9" max="9" width="36.42578125" customWidth="1"/>
    <col min="10" max="10" width="19.5703125" customWidth="1"/>
    <col min="11" max="11" width="8.85546875" customWidth="1"/>
    <col min="12" max="12" width="8.28515625" customWidth="1"/>
    <col min="13" max="13" width="12.7109375" customWidth="1"/>
    <col min="14" max="14" width="12.28515625" customWidth="1"/>
    <col min="17" max="17" width="13.42578125" customWidth="1"/>
  </cols>
  <sheetData>
    <row r="1" spans="1:17" ht="49.5" customHeight="1" thickBot="1" x14ac:dyDescent="0.25">
      <c r="A1" s="979"/>
      <c r="B1" s="980"/>
      <c r="C1" s="980"/>
      <c r="D1" s="980"/>
      <c r="E1" s="980"/>
      <c r="F1" s="980"/>
      <c r="G1" s="980"/>
      <c r="H1" s="981"/>
      <c r="I1" s="982"/>
      <c r="J1" s="337" t="s">
        <v>295</v>
      </c>
    </row>
    <row r="2" spans="1:17" ht="33.75" customHeight="1" thickBot="1" x14ac:dyDescent="0.25">
      <c r="A2" s="971" t="s">
        <v>42</v>
      </c>
      <c r="B2" s="972"/>
      <c r="C2" s="962" t="s">
        <v>139</v>
      </c>
      <c r="D2" s="962"/>
      <c r="E2" s="963"/>
      <c r="F2" s="951" t="s">
        <v>41</v>
      </c>
      <c r="G2" s="990"/>
      <c r="H2" s="277" t="s">
        <v>113</v>
      </c>
      <c r="I2" s="316"/>
    </row>
    <row r="3" spans="1:17" ht="15.75" customHeight="1" thickBot="1" x14ac:dyDescent="0.25">
      <c r="A3" s="973"/>
      <c r="B3" s="974"/>
      <c r="C3" s="964"/>
      <c r="D3" s="964"/>
      <c r="E3" s="965"/>
      <c r="F3" s="392" t="s">
        <v>23</v>
      </c>
      <c r="G3" s="394" t="s">
        <v>24</v>
      </c>
      <c r="H3" s="393" t="s">
        <v>114</v>
      </c>
      <c r="I3" s="316"/>
    </row>
    <row r="4" spans="1:17" ht="26.25" hidden="1" customHeight="1" x14ac:dyDescent="0.2">
      <c r="A4" s="428" t="s">
        <v>120</v>
      </c>
      <c r="B4" s="317"/>
      <c r="C4" s="991" t="s">
        <v>115</v>
      </c>
      <c r="D4" s="991"/>
      <c r="E4" s="429"/>
      <c r="F4" s="313">
        <v>220</v>
      </c>
      <c r="G4" s="314">
        <v>500</v>
      </c>
      <c r="H4" s="315" t="s">
        <v>116</v>
      </c>
      <c r="I4" s="316"/>
    </row>
    <row r="5" spans="1:17" ht="30" customHeight="1" x14ac:dyDescent="0.2">
      <c r="A5" s="975" t="s">
        <v>408</v>
      </c>
      <c r="B5" s="976"/>
      <c r="C5" s="966" t="s">
        <v>137</v>
      </c>
      <c r="D5" s="966"/>
      <c r="E5" s="967"/>
      <c r="F5" s="112">
        <v>400</v>
      </c>
      <c r="G5" s="113">
        <v>1000</v>
      </c>
      <c r="H5" s="114" t="s">
        <v>117</v>
      </c>
      <c r="I5" s="316"/>
    </row>
    <row r="6" spans="1:17" ht="37.5" customHeight="1" x14ac:dyDescent="0.2">
      <c r="A6" s="975" t="s">
        <v>409</v>
      </c>
      <c r="B6" s="976"/>
      <c r="C6" s="966" t="s">
        <v>290</v>
      </c>
      <c r="D6" s="966"/>
      <c r="E6" s="967"/>
      <c r="F6" s="112">
        <v>680</v>
      </c>
      <c r="G6" s="113">
        <v>1520</v>
      </c>
      <c r="H6" s="114" t="s">
        <v>118</v>
      </c>
      <c r="I6" s="316"/>
    </row>
    <row r="7" spans="1:17" ht="29.25" customHeight="1" thickBot="1" x14ac:dyDescent="0.25">
      <c r="A7" s="977" t="s">
        <v>410</v>
      </c>
      <c r="B7" s="978"/>
      <c r="C7" s="968" t="s">
        <v>138</v>
      </c>
      <c r="D7" s="968"/>
      <c r="E7" s="965"/>
      <c r="F7" s="115">
        <v>960</v>
      </c>
      <c r="G7" s="116">
        <v>2215</v>
      </c>
      <c r="H7" s="117" t="s">
        <v>119</v>
      </c>
      <c r="I7" s="316"/>
    </row>
    <row r="8" spans="1:17" ht="20.25" customHeight="1" thickBot="1" x14ac:dyDescent="0.25">
      <c r="A8" s="992" t="s">
        <v>170</v>
      </c>
      <c r="B8" s="993"/>
      <c r="C8" s="994"/>
      <c r="D8" s="994"/>
      <c r="E8" s="994"/>
      <c r="F8" s="994"/>
      <c r="G8" s="994"/>
      <c r="H8" s="994"/>
      <c r="I8" s="995"/>
    </row>
    <row r="9" spans="1:17" ht="47.25" customHeight="1" thickBot="1" x14ac:dyDescent="0.25">
      <c r="A9" s="415" t="s">
        <v>125</v>
      </c>
      <c r="B9" s="411" t="s">
        <v>334</v>
      </c>
      <c r="C9" s="430" t="s">
        <v>15</v>
      </c>
      <c r="D9" s="430" t="s">
        <v>14</v>
      </c>
      <c r="E9" s="431" t="s">
        <v>182</v>
      </c>
      <c r="F9" s="432" t="s">
        <v>20</v>
      </c>
      <c r="G9" s="512" t="s">
        <v>18</v>
      </c>
      <c r="H9" s="988" t="s">
        <v>136</v>
      </c>
      <c r="I9" s="989"/>
      <c r="J9" s="75"/>
      <c r="K9" s="25"/>
      <c r="L9" s="25"/>
      <c r="M9" s="25"/>
      <c r="N9" s="25"/>
    </row>
    <row r="10" spans="1:17" ht="36" customHeight="1" thickBot="1" x14ac:dyDescent="0.25">
      <c r="A10" s="130" t="s">
        <v>342</v>
      </c>
      <c r="B10" s="447">
        <v>18</v>
      </c>
      <c r="C10" s="433">
        <v>300</v>
      </c>
      <c r="D10" s="434">
        <v>600</v>
      </c>
      <c r="E10" s="435">
        <v>0</v>
      </c>
      <c r="F10" s="436">
        <f>(C10)/1000*(D10)/1000*B10*(680/1000)+(E10/1000*2)</f>
        <v>2.2031999999999998</v>
      </c>
      <c r="G10" s="511">
        <f t="shared" ref="G10:G15" si="0">F10*C10</f>
        <v>660.95999999999992</v>
      </c>
      <c r="H10" s="1000" t="str">
        <f>IF(C10&lt;150,"Увеличьте высоту фасада (мин. 150 мм)",IF(C10&gt;600,"Уменьшите высоту фасада (макс. 600 мм)",IF(G10&lt;400,"Очень лёгкий фасад, используйте комбинацию механизмов AVENTOS HK-S 20K2A01+20K2C01 или AVENTOS HK-XS",IF(G10&lt;850,"2 силовых механизма AVENTOS HK-S тип C",IF(G10&lt;1000,"2 силовых механизма AVENTOS HK-S, тип С + тип Е",IF(G10&lt;2005,"2 силовых механизма AVENTOS HK-S тип Е",IF(G10&gt;2005,"Очень тяжёлый фасад, используйте механизм AVENTOS HK",)))))))</f>
        <v>2 силовых механизма AVENTOS HK-S тип C</v>
      </c>
      <c r="I10" s="1001"/>
      <c r="J10" s="75"/>
      <c r="K10" s="25"/>
      <c r="L10" s="25"/>
      <c r="M10" s="25"/>
      <c r="N10" s="25"/>
    </row>
    <row r="11" spans="1:17" ht="33.75" customHeight="1" thickBot="1" x14ac:dyDescent="0.25">
      <c r="A11" s="514" t="s">
        <v>340</v>
      </c>
      <c r="B11" s="448">
        <v>16</v>
      </c>
      <c r="C11" s="438">
        <v>400</v>
      </c>
      <c r="D11" s="439">
        <v>600</v>
      </c>
      <c r="E11" s="440">
        <v>0</v>
      </c>
      <c r="F11" s="513">
        <f>(C11)/1000*(D11)/1000*B11*(760/1000)+(E11/1000*2)</f>
        <v>2.9184000000000001</v>
      </c>
      <c r="G11" s="441">
        <f t="shared" si="0"/>
        <v>1167.3600000000001</v>
      </c>
      <c r="H11" s="1002" t="str">
        <f>IF(C11&lt;150,"Увеличьте высоту фасада (мин. 150 мм)",IF(C11&gt;600,"Уменьшите высоту фасада (макс. 600 мм)",IF(G11&lt;400,"Очень лёгкий фасад, используйте комбинацию механизмов AVENTOS HK-S 20K2A01+20K2C01 или AVENTOS HK-XS",IF(G11&lt;850,"2 силовых механизма AVENTOS HK-S тип C",IF(G11&lt;1000,"2 силовых механизма AVENTOS HK-S, тип С + тип Е",IF(G11&lt;2005,"2 силовых механизма AVENTOS HK-S тип Е",IF(G11&gt;2005,"Очень тяжёлый фасад, используйте механизм AVENTOS HK",)))))))</f>
        <v>2 силовых механизма AVENTOS HK-S тип Е</v>
      </c>
      <c r="I11" s="1003"/>
      <c r="J11" s="77"/>
      <c r="K11" s="77"/>
      <c r="L11" s="77"/>
      <c r="M11" s="1014"/>
      <c r="N11" s="1014"/>
      <c r="O11" s="1014"/>
      <c r="P11" s="1014"/>
      <c r="Q11" s="70"/>
    </row>
    <row r="12" spans="1:17" ht="28.5" customHeight="1" thickBot="1" x14ac:dyDescent="0.25">
      <c r="A12" s="1009" t="s">
        <v>49</v>
      </c>
      <c r="B12" s="907"/>
      <c r="C12" s="443">
        <v>300</v>
      </c>
      <c r="D12" s="435">
        <v>600</v>
      </c>
      <c r="E12" s="434">
        <v>0</v>
      </c>
      <c r="F12" s="442">
        <f>(C12)/1000*(D12)/1000*(11.5+0.3*2)+(E12/1000*2)</f>
        <v>2.1779999999999999</v>
      </c>
      <c r="G12" s="444">
        <f t="shared" si="0"/>
        <v>653.4</v>
      </c>
      <c r="H12" s="998" t="str">
        <f t="shared" ref="H12:H15" si="1">IF(C12&lt;150,"Увеличьте высоту фасада (мин. 150 мм)",IF(C12&gt;600,"Уменьшите высоту фасада (макс. 600 мм)",IF(G12&lt;400,"Очень лёгкий фасад, используйте комбинацию механизмов AVENTOS HK-S 20K2A01+20K2C01 или AVENTOS HK-XS",IF(G12&lt;850,"2 силовых механизма AVENTOS HK-S тип C",IF(G12&lt;1000,"2 силовых механизма AVENTOS HK-S, тип С + тип Е",IF(G12&lt;2005,"2 силовых механизма AVENTOS HK-S тип Е",IF(G12&gt;2005,"Очень тяжёлый фасад, используйте механизм AVENTOS HK",)))))))</f>
        <v>2 силовых механизма AVENTOS HK-S тип C</v>
      </c>
      <c r="I12" s="999"/>
      <c r="J12" s="24"/>
      <c r="K12" s="24"/>
      <c r="L12" s="24"/>
      <c r="M12" s="1015"/>
      <c r="N12" s="1015"/>
      <c r="O12" s="1015"/>
      <c r="P12" s="1015"/>
      <c r="Q12" s="25"/>
    </row>
    <row r="13" spans="1:17" ht="25.5" customHeight="1" thickBot="1" x14ac:dyDescent="0.25">
      <c r="A13" s="1010" t="s">
        <v>37</v>
      </c>
      <c r="B13" s="733"/>
      <c r="C13" s="515">
        <v>490</v>
      </c>
      <c r="D13" s="516">
        <v>900</v>
      </c>
      <c r="E13" s="439">
        <v>0</v>
      </c>
      <c r="F13" s="517">
        <f>(C13)/1000*(D13)/1000*(11.5+0.3*2)+(E13/1000*2)</f>
        <v>5.3361000000000001</v>
      </c>
      <c r="G13" s="441">
        <f t="shared" si="0"/>
        <v>2614.6889999999999</v>
      </c>
      <c r="H13" s="1004" t="str">
        <f t="shared" si="1"/>
        <v>Очень тяжёлый фасад, используйте механизм AVENTOS HK</v>
      </c>
      <c r="I13" s="1005"/>
      <c r="J13" s="76"/>
      <c r="K13" s="76"/>
      <c r="L13" s="76"/>
      <c r="M13" s="1016"/>
      <c r="N13" s="1016"/>
      <c r="O13" s="1016"/>
      <c r="P13" s="1016"/>
      <c r="Q13" s="71"/>
    </row>
    <row r="14" spans="1:17" ht="27" customHeight="1" thickBot="1" x14ac:dyDescent="0.25">
      <c r="A14" s="1009" t="s">
        <v>172</v>
      </c>
      <c r="B14" s="1011"/>
      <c r="C14" s="433">
        <v>400</v>
      </c>
      <c r="D14" s="434">
        <v>600</v>
      </c>
      <c r="E14" s="435">
        <v>0</v>
      </c>
      <c r="F14" s="436">
        <f>(C14)/1000*(D14)/1000*(8.8+0.3*2)+(E14/1000*2)</f>
        <v>2.2559999999999998</v>
      </c>
      <c r="G14" s="511">
        <f t="shared" si="0"/>
        <v>902.39999999999986</v>
      </c>
      <c r="H14" s="998" t="str">
        <f t="shared" si="1"/>
        <v>2 силовых механизма AVENTOS HK-S, тип С + тип Е</v>
      </c>
      <c r="I14" s="999"/>
      <c r="J14" s="76"/>
      <c r="K14" s="76"/>
      <c r="L14" s="76"/>
      <c r="M14" s="1016"/>
      <c r="N14" s="1016"/>
      <c r="O14" s="1016"/>
      <c r="P14" s="1016"/>
      <c r="Q14" s="71"/>
    </row>
    <row r="15" spans="1:17" ht="31.5" customHeight="1" thickBot="1" x14ac:dyDescent="0.25">
      <c r="A15" s="953" t="s">
        <v>289</v>
      </c>
      <c r="B15" s="954"/>
      <c r="C15" s="518">
        <v>300</v>
      </c>
      <c r="D15" s="437">
        <v>300</v>
      </c>
      <c r="E15" s="519">
        <v>0</v>
      </c>
      <c r="F15" s="445">
        <f>(C15)/1000*(D15)/1000*4*(2500/1000)+(C15)/1000*(D15)/1000*16*(680/1000)+(E15/1000*2)</f>
        <v>1.8792</v>
      </c>
      <c r="G15" s="446">
        <f t="shared" si="0"/>
        <v>563.76</v>
      </c>
      <c r="H15" s="996" t="str">
        <f t="shared" si="1"/>
        <v>2 силовых механизма AVENTOS HK-S тип C</v>
      </c>
      <c r="I15" s="997"/>
      <c r="J15" s="76"/>
      <c r="K15" s="76"/>
      <c r="L15" s="76"/>
      <c r="M15" s="278"/>
      <c r="N15" s="278"/>
      <c r="O15" s="278"/>
      <c r="P15" s="278"/>
      <c r="Q15" s="71"/>
    </row>
    <row r="16" spans="1:17" ht="24" customHeight="1" thickBot="1" x14ac:dyDescent="0.25">
      <c r="A16" s="318" t="s">
        <v>210</v>
      </c>
      <c r="B16" s="312"/>
      <c r="I16" s="319"/>
      <c r="J16" s="76"/>
      <c r="K16" s="76"/>
      <c r="L16" s="76"/>
      <c r="M16" s="1016"/>
      <c r="N16" s="1016"/>
      <c r="O16" s="1016"/>
      <c r="P16" s="1016"/>
      <c r="Q16" s="71"/>
    </row>
    <row r="17" spans="1:17" ht="24.75" customHeight="1" x14ac:dyDescent="0.2">
      <c r="A17" s="984" t="s">
        <v>161</v>
      </c>
      <c r="B17" s="985"/>
      <c r="C17" s="985"/>
      <c r="D17" s="985"/>
      <c r="E17" s="985"/>
      <c r="F17" s="985"/>
      <c r="G17" s="985"/>
      <c r="H17" s="986"/>
      <c r="I17" s="987"/>
      <c r="J17" s="76"/>
      <c r="K17" s="76"/>
      <c r="L17" s="76"/>
      <c r="M17" s="1016"/>
      <c r="N17" s="1016"/>
      <c r="O17" s="1016"/>
      <c r="P17" s="1016"/>
      <c r="Q17" s="71"/>
    </row>
    <row r="18" spans="1:17" ht="21" customHeight="1" x14ac:dyDescent="0.2">
      <c r="A18" s="983" t="s">
        <v>162</v>
      </c>
      <c r="B18" s="983"/>
      <c r="C18" s="983"/>
      <c r="D18" s="960" t="s">
        <v>52</v>
      </c>
      <c r="E18" s="961"/>
      <c r="F18" s="67">
        <v>2</v>
      </c>
      <c r="G18" s="67" t="s">
        <v>76</v>
      </c>
      <c r="H18" s="1006" t="s">
        <v>48</v>
      </c>
      <c r="I18" s="1007"/>
    </row>
    <row r="19" spans="1:17" ht="21" customHeight="1" x14ac:dyDescent="0.2">
      <c r="A19" s="983" t="s">
        <v>163</v>
      </c>
      <c r="B19" s="983"/>
      <c r="C19" s="983"/>
      <c r="D19" s="960" t="s">
        <v>43</v>
      </c>
      <c r="E19" s="961"/>
      <c r="F19" s="67">
        <v>1</v>
      </c>
      <c r="G19" s="67" t="s">
        <v>45</v>
      </c>
      <c r="H19" s="1006" t="s">
        <v>46</v>
      </c>
      <c r="I19" s="1008"/>
    </row>
    <row r="20" spans="1:17" ht="26.25" customHeight="1" x14ac:dyDescent="0.2">
      <c r="A20" s="983" t="s">
        <v>164</v>
      </c>
      <c r="B20" s="983"/>
      <c r="C20" s="983"/>
      <c r="D20" s="960" t="s">
        <v>44</v>
      </c>
      <c r="E20" s="961"/>
      <c r="F20" s="67">
        <v>1</v>
      </c>
      <c r="G20" s="67" t="s">
        <v>45</v>
      </c>
      <c r="H20" s="1006" t="s">
        <v>46</v>
      </c>
      <c r="I20" s="1008"/>
    </row>
    <row r="21" spans="1:17" ht="29.25" customHeight="1" x14ac:dyDescent="0.2">
      <c r="A21" s="983" t="s">
        <v>165</v>
      </c>
      <c r="B21" s="983"/>
      <c r="C21" s="983"/>
      <c r="D21" s="1017" t="s">
        <v>77</v>
      </c>
      <c r="E21" s="961"/>
      <c r="F21" s="67">
        <v>2</v>
      </c>
      <c r="G21" s="67" t="s">
        <v>27</v>
      </c>
      <c r="H21" s="1006" t="s">
        <v>40</v>
      </c>
      <c r="I21" s="1008"/>
    </row>
    <row r="22" spans="1:17" ht="24.75" customHeight="1" x14ac:dyDescent="0.2">
      <c r="A22" s="983" t="s">
        <v>168</v>
      </c>
      <c r="B22" s="983"/>
      <c r="C22" s="983"/>
      <c r="D22" s="960" t="s">
        <v>159</v>
      </c>
      <c r="E22" s="961"/>
      <c r="F22" s="67">
        <v>1</v>
      </c>
      <c r="G22" s="67"/>
      <c r="H22" s="1006" t="s">
        <v>48</v>
      </c>
      <c r="I22" s="1008"/>
    </row>
    <row r="23" spans="1:17" ht="24.75" customHeight="1" x14ac:dyDescent="0.2">
      <c r="A23" s="983" t="s">
        <v>166</v>
      </c>
      <c r="B23" s="983"/>
      <c r="C23" s="983"/>
      <c r="D23" s="960" t="s">
        <v>160</v>
      </c>
      <c r="E23" s="961"/>
      <c r="F23" s="67">
        <v>1</v>
      </c>
      <c r="G23" s="67"/>
      <c r="H23" s="1006" t="s">
        <v>48</v>
      </c>
      <c r="I23" s="1008"/>
    </row>
    <row r="24" spans="1:17" ht="27.75" customHeight="1" x14ac:dyDescent="0.2">
      <c r="A24" s="969" t="s">
        <v>167</v>
      </c>
      <c r="B24" s="970"/>
      <c r="C24" s="970"/>
      <c r="D24" s="960" t="s">
        <v>47</v>
      </c>
      <c r="E24" s="961"/>
      <c r="F24" s="67">
        <v>1</v>
      </c>
      <c r="G24" s="67"/>
      <c r="H24" s="1006" t="s">
        <v>48</v>
      </c>
      <c r="I24" s="1008"/>
    </row>
    <row r="25" spans="1:17" ht="24" customHeight="1" x14ac:dyDescent="0.2"/>
    <row r="26" spans="1:17" ht="32.25" customHeight="1" x14ac:dyDescent="0.2">
      <c r="A26" s="1012" t="s">
        <v>465</v>
      </c>
      <c r="B26" s="749"/>
      <c r="C26" s="749"/>
      <c r="D26" s="749"/>
      <c r="E26" s="749"/>
      <c r="F26" s="749"/>
      <c r="G26" s="749"/>
      <c r="H26" s="749"/>
      <c r="I26" s="1013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customSheetViews>
    <customSheetView guid="{A25B6F15-9B48-4230-9C30-183637D1319E}" showGridLines="0" hiddenRows="1" topLeftCell="A2">
      <selection activeCell="F11" sqref="F11:G11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57">
    <mergeCell ref="A26:I26"/>
    <mergeCell ref="H24:I24"/>
    <mergeCell ref="A21:C21"/>
    <mergeCell ref="A22:C22"/>
    <mergeCell ref="M11:P11"/>
    <mergeCell ref="M12:N12"/>
    <mergeCell ref="O12:P12"/>
    <mergeCell ref="M13:N13"/>
    <mergeCell ref="O13:P13"/>
    <mergeCell ref="M17:N17"/>
    <mergeCell ref="O17:P17"/>
    <mergeCell ref="M14:N14"/>
    <mergeCell ref="O14:P14"/>
    <mergeCell ref="M16:N16"/>
    <mergeCell ref="O16:P16"/>
    <mergeCell ref="D21:E21"/>
    <mergeCell ref="H12:I12"/>
    <mergeCell ref="H13:I13"/>
    <mergeCell ref="A23:C23"/>
    <mergeCell ref="H18:I18"/>
    <mergeCell ref="H19:I19"/>
    <mergeCell ref="H20:I20"/>
    <mergeCell ref="H21:I21"/>
    <mergeCell ref="H22:I22"/>
    <mergeCell ref="H23:I23"/>
    <mergeCell ref="D23:E23"/>
    <mergeCell ref="A12:B12"/>
    <mergeCell ref="A13:B13"/>
    <mergeCell ref="A14:B14"/>
    <mergeCell ref="A15:B15"/>
    <mergeCell ref="A1:I1"/>
    <mergeCell ref="A18:C18"/>
    <mergeCell ref="A19:C19"/>
    <mergeCell ref="A20:C20"/>
    <mergeCell ref="A17:I17"/>
    <mergeCell ref="H9:I9"/>
    <mergeCell ref="F2:G2"/>
    <mergeCell ref="C4:D4"/>
    <mergeCell ref="A8:I8"/>
    <mergeCell ref="D18:E18"/>
    <mergeCell ref="D19:E19"/>
    <mergeCell ref="D20:E20"/>
    <mergeCell ref="H15:I15"/>
    <mergeCell ref="H14:I14"/>
    <mergeCell ref="H10:I10"/>
    <mergeCell ref="H11:I11"/>
    <mergeCell ref="D24:E24"/>
    <mergeCell ref="C2:E3"/>
    <mergeCell ref="C5:E5"/>
    <mergeCell ref="C6:E6"/>
    <mergeCell ref="C7:E7"/>
    <mergeCell ref="A24:C24"/>
    <mergeCell ref="A2:B3"/>
    <mergeCell ref="A5:B5"/>
    <mergeCell ref="A6:B6"/>
    <mergeCell ref="A7:B7"/>
    <mergeCell ref="D22:E22"/>
  </mergeCells>
  <phoneticPr fontId="14" type="noConversion"/>
  <conditionalFormatting sqref="H10:I15">
    <cfRule type="containsText" dxfId="90" priority="10" operator="containsText" text="уменьшите высоту фасада">
      <formula>NOT(ISERROR(SEARCH("уменьшите высоту фасада",H10)))</formula>
    </cfRule>
    <cfRule type="containsText" dxfId="89" priority="11" operator="containsText" text="увеличьте высоту фасада">
      <formula>NOT(ISERROR(SEARCH("увеличьте высоту фасада",H10)))</formula>
    </cfRule>
    <cfRule type="containsText" dxfId="88" priority="15" stopIfTrue="1" operator="containsText" text="очень">
      <formula>NOT(ISERROR(SEARCH("очень",H10)))</formula>
    </cfRule>
  </conditionalFormatting>
  <hyperlinks>
    <hyperlink ref="J1" location="Содержание!R1C1" display="← СОДЕРЖАНИЕ:" xr:uid="{00000000-0004-0000-0A00-000000000000}"/>
  </hyperlinks>
  <pageMargins left="0.75" right="0.75" top="1" bottom="1" header="0.5" footer="0.5"/>
  <pageSetup paperSize="9" orientation="portrait" verticalDpi="0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>
    <tabColor theme="7" tint="-0.249977111117893"/>
  </sheetPr>
  <dimension ref="A1:AY59"/>
  <sheetViews>
    <sheetView showGridLines="0" topLeftCell="D1" zoomScale="80" zoomScaleNormal="80" workbookViewId="0">
      <selection activeCell="V1" sqref="V1"/>
    </sheetView>
  </sheetViews>
  <sheetFormatPr defaultRowHeight="12.75" x14ac:dyDescent="0.2"/>
  <cols>
    <col min="1" max="1" width="12.5703125" customWidth="1"/>
    <col min="2" max="2" width="20.5703125" customWidth="1"/>
    <col min="3" max="3" width="13.7109375" customWidth="1"/>
    <col min="4" max="4" width="12.140625" customWidth="1"/>
    <col min="5" max="5" width="15.140625" customWidth="1"/>
    <col min="6" max="6" width="17.140625" customWidth="1"/>
    <col min="7" max="7" width="11.85546875" customWidth="1"/>
    <col min="8" max="8" width="10.28515625" customWidth="1"/>
    <col min="9" max="9" width="14.42578125" customWidth="1"/>
    <col min="10" max="10" width="11.5703125" customWidth="1"/>
    <col min="11" max="12" width="11.28515625" customWidth="1"/>
    <col min="13" max="13" width="4.5703125" customWidth="1"/>
    <col min="14" max="14" width="12.7109375" customWidth="1"/>
    <col min="15" max="15" width="11.42578125" customWidth="1"/>
    <col min="16" max="16" width="14.28515625" customWidth="1"/>
    <col min="17" max="17" width="13.42578125" customWidth="1"/>
    <col min="18" max="18" width="8.28515625" customWidth="1"/>
    <col min="19" max="19" width="9.140625" customWidth="1"/>
    <col min="20" max="20" width="9.42578125" customWidth="1"/>
    <col min="21" max="21" width="8.28515625" customWidth="1"/>
    <col min="22" max="22" width="24" customWidth="1"/>
    <col min="23" max="23" width="10.140625" customWidth="1"/>
    <col min="24" max="24" width="10.28515625" customWidth="1"/>
    <col min="25" max="25" width="12.140625" customWidth="1"/>
    <col min="27" max="31" width="9.140625" style="7"/>
    <col min="32" max="32" width="0" style="7" hidden="1" customWidth="1"/>
    <col min="33" max="42" width="9.140625" style="7" hidden="1" customWidth="1"/>
    <col min="43" max="46" width="9.140625" style="7" customWidth="1"/>
    <col min="47" max="51" width="9.140625" style="7"/>
  </cols>
  <sheetData>
    <row r="1" spans="1:22" ht="51.75" customHeight="1" thickBot="1" x14ac:dyDescent="0.65">
      <c r="A1" s="1056"/>
      <c r="B1" s="1057"/>
      <c r="C1" s="1057"/>
      <c r="D1" s="1057"/>
      <c r="E1" s="1057"/>
      <c r="F1" s="1057"/>
      <c r="G1" s="1057"/>
      <c r="H1" s="1057"/>
      <c r="I1" s="1057"/>
      <c r="J1" s="1057"/>
      <c r="K1" s="1058"/>
      <c r="L1" s="1058"/>
      <c r="M1" s="1058"/>
      <c r="N1" s="1058"/>
      <c r="O1" s="1058"/>
      <c r="P1" s="1058"/>
      <c r="Q1" s="1058"/>
      <c r="R1" s="1058"/>
      <c r="S1" s="1058"/>
      <c r="T1" s="1058"/>
      <c r="U1" s="1058"/>
      <c r="V1" s="339" t="s">
        <v>295</v>
      </c>
    </row>
    <row r="2" spans="1:22" ht="24" customHeight="1" thickBot="1" x14ac:dyDescent="0.3">
      <c r="A2" s="946" t="s">
        <v>149</v>
      </c>
      <c r="B2" s="947"/>
      <c r="C2" s="947"/>
      <c r="D2" s="1062"/>
      <c r="E2" s="1066" t="s">
        <v>141</v>
      </c>
      <c r="F2" s="1067"/>
      <c r="G2" s="1067"/>
      <c r="H2" s="1067"/>
      <c r="I2" s="1068"/>
      <c r="J2" s="73"/>
      <c r="K2" s="94"/>
      <c r="L2" s="94"/>
      <c r="M2" s="73"/>
      <c r="N2" s="946" t="s">
        <v>145</v>
      </c>
      <c r="O2" s="947"/>
      <c r="P2" s="947"/>
      <c r="Q2" s="1062"/>
      <c r="R2" s="1066" t="s">
        <v>141</v>
      </c>
      <c r="S2" s="1067"/>
      <c r="T2" s="1067"/>
      <c r="U2" s="1068"/>
    </row>
    <row r="3" spans="1:22" ht="21" customHeight="1" thickBot="1" x14ac:dyDescent="0.35">
      <c r="A3" s="1063"/>
      <c r="B3" s="1064"/>
      <c r="C3" s="1064"/>
      <c r="D3" s="1065"/>
      <c r="E3" s="1069" t="s">
        <v>23</v>
      </c>
      <c r="F3" s="1070"/>
      <c r="G3" s="1043" t="s">
        <v>24</v>
      </c>
      <c r="H3" s="911"/>
      <c r="I3" s="912"/>
      <c r="J3" s="73"/>
      <c r="K3" s="95"/>
      <c r="L3" s="95"/>
      <c r="M3" s="96"/>
      <c r="N3" s="1063"/>
      <c r="O3" s="1064"/>
      <c r="P3" s="1064"/>
      <c r="Q3" s="1065"/>
      <c r="R3" s="1069" t="s">
        <v>23</v>
      </c>
      <c r="S3" s="1070"/>
      <c r="T3" s="1070" t="s">
        <v>24</v>
      </c>
      <c r="U3" s="1071"/>
    </row>
    <row r="4" spans="1:22" ht="27" customHeight="1" x14ac:dyDescent="0.3">
      <c r="A4" s="946" t="s">
        <v>144</v>
      </c>
      <c r="B4" s="1035"/>
      <c r="C4" s="1035"/>
      <c r="D4" s="97" t="s">
        <v>81</v>
      </c>
      <c r="E4" s="1049">
        <v>200</v>
      </c>
      <c r="F4" s="1050"/>
      <c r="G4" s="1044">
        <v>1000</v>
      </c>
      <c r="H4" s="1045"/>
      <c r="I4" s="1046"/>
      <c r="J4" s="73"/>
      <c r="K4" s="95"/>
      <c r="L4" s="95"/>
      <c r="M4" s="96"/>
      <c r="N4" s="946" t="s">
        <v>146</v>
      </c>
      <c r="O4" s="1035"/>
      <c r="P4" s="1035"/>
      <c r="Q4" s="97" t="s">
        <v>81</v>
      </c>
      <c r="R4" s="1049">
        <v>180</v>
      </c>
      <c r="S4" s="1050"/>
      <c r="T4" s="1050">
        <v>800</v>
      </c>
      <c r="U4" s="1060"/>
    </row>
    <row r="5" spans="1:22" ht="27" customHeight="1" thickBot="1" x14ac:dyDescent="0.35">
      <c r="A5" s="1036"/>
      <c r="B5" s="1037"/>
      <c r="C5" s="1037"/>
      <c r="D5" s="98" t="s">
        <v>83</v>
      </c>
      <c r="E5" s="1032">
        <v>400</v>
      </c>
      <c r="F5" s="1033"/>
      <c r="G5" s="1047">
        <v>2000</v>
      </c>
      <c r="H5" s="1048"/>
      <c r="I5" s="817"/>
      <c r="J5" s="73"/>
      <c r="K5" s="95"/>
      <c r="L5" s="95"/>
      <c r="M5" s="96"/>
      <c r="N5" s="1036"/>
      <c r="O5" s="1037"/>
      <c r="P5" s="1037"/>
      <c r="Q5" s="98" t="s">
        <v>83</v>
      </c>
      <c r="R5" s="1032">
        <v>360</v>
      </c>
      <c r="S5" s="1033"/>
      <c r="T5" s="1033">
        <v>1600</v>
      </c>
      <c r="U5" s="1034"/>
    </row>
    <row r="6" spans="1:22" ht="27" customHeight="1" x14ac:dyDescent="0.3">
      <c r="A6" s="946" t="s">
        <v>143</v>
      </c>
      <c r="B6" s="1035"/>
      <c r="C6" s="1035"/>
      <c r="D6" s="99" t="s">
        <v>81</v>
      </c>
      <c r="E6" s="1049">
        <v>500</v>
      </c>
      <c r="F6" s="1050"/>
      <c r="G6" s="1044">
        <v>1500</v>
      </c>
      <c r="H6" s="1045"/>
      <c r="I6" s="1046"/>
      <c r="J6" s="73"/>
      <c r="K6" s="95"/>
      <c r="L6" s="95"/>
      <c r="M6" s="73"/>
      <c r="N6" s="946" t="s">
        <v>147</v>
      </c>
      <c r="O6" s="1035"/>
      <c r="P6" s="1035"/>
      <c r="Q6" s="99" t="s">
        <v>81</v>
      </c>
      <c r="R6" s="1049">
        <v>500</v>
      </c>
      <c r="S6" s="1050"/>
      <c r="T6" s="1050">
        <v>1200</v>
      </c>
      <c r="U6" s="1060"/>
    </row>
    <row r="7" spans="1:22" ht="24.75" customHeight="1" thickBot="1" x14ac:dyDescent="0.35">
      <c r="A7" s="1036"/>
      <c r="B7" s="1037"/>
      <c r="C7" s="1037"/>
      <c r="D7" s="98" t="s">
        <v>83</v>
      </c>
      <c r="E7" s="1032">
        <v>1000</v>
      </c>
      <c r="F7" s="1033"/>
      <c r="G7" s="1047">
        <v>3000</v>
      </c>
      <c r="H7" s="1048"/>
      <c r="I7" s="817"/>
      <c r="J7" s="73"/>
      <c r="K7" s="95"/>
      <c r="L7" s="95"/>
      <c r="M7" s="73"/>
      <c r="N7" s="1036"/>
      <c r="O7" s="1037"/>
      <c r="P7" s="1037"/>
      <c r="Q7" s="98" t="s">
        <v>83</v>
      </c>
      <c r="R7" s="1032">
        <v>1000</v>
      </c>
      <c r="S7" s="1033"/>
      <c r="T7" s="1033">
        <v>2400</v>
      </c>
      <c r="U7" s="1034"/>
    </row>
    <row r="8" spans="1:22" ht="30.75" customHeight="1" x14ac:dyDescent="0.2">
      <c r="A8" s="946" t="s">
        <v>142</v>
      </c>
      <c r="B8" s="1035"/>
      <c r="C8" s="1035"/>
      <c r="D8" s="100" t="s">
        <v>81</v>
      </c>
      <c r="E8" s="1038">
        <v>800</v>
      </c>
      <c r="F8" s="1039"/>
      <c r="G8" s="1044">
        <v>1800</v>
      </c>
      <c r="H8" s="1045"/>
      <c r="I8" s="1046"/>
      <c r="J8" s="73"/>
      <c r="K8" s="73"/>
      <c r="L8" s="73"/>
      <c r="M8" s="73"/>
      <c r="N8" s="946" t="s">
        <v>148</v>
      </c>
      <c r="O8" s="1035"/>
      <c r="P8" s="1035"/>
      <c r="Q8" s="100" t="s">
        <v>81</v>
      </c>
      <c r="R8" s="1038">
        <v>800</v>
      </c>
      <c r="S8" s="1039"/>
      <c r="T8" s="1039">
        <v>1600</v>
      </c>
      <c r="U8" s="1061"/>
    </row>
    <row r="9" spans="1:22" ht="25.5" customHeight="1" thickBot="1" x14ac:dyDescent="0.25">
      <c r="A9" s="1036"/>
      <c r="B9" s="1037"/>
      <c r="C9" s="1037"/>
      <c r="D9" s="98" t="s">
        <v>83</v>
      </c>
      <c r="E9" s="1032">
        <v>1600</v>
      </c>
      <c r="F9" s="1033"/>
      <c r="G9" s="1047">
        <v>3600</v>
      </c>
      <c r="H9" s="1048"/>
      <c r="I9" s="817"/>
      <c r="J9" s="73"/>
      <c r="K9" s="73"/>
      <c r="L9" s="73"/>
      <c r="M9" s="73"/>
      <c r="N9" s="1036"/>
      <c r="O9" s="1037"/>
      <c r="P9" s="1037"/>
      <c r="Q9" s="98" t="s">
        <v>83</v>
      </c>
      <c r="R9" s="1032">
        <v>1600</v>
      </c>
      <c r="S9" s="1033"/>
      <c r="T9" s="1033">
        <v>3200</v>
      </c>
      <c r="U9" s="1034"/>
    </row>
    <row r="10" spans="1:22" ht="27.75" customHeight="1" thickBot="1" x14ac:dyDescent="0.25">
      <c r="A10" s="1059" t="s">
        <v>171</v>
      </c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9"/>
      <c r="N10" s="1059"/>
      <c r="O10" s="1059"/>
      <c r="P10" s="1059"/>
      <c r="Q10" s="1059"/>
      <c r="R10" s="1059"/>
      <c r="S10" s="1059"/>
      <c r="T10" s="1059"/>
      <c r="U10" s="1059"/>
    </row>
    <row r="11" spans="1:22" ht="45" customHeight="1" thickBot="1" x14ac:dyDescent="0.25">
      <c r="A11" s="1090" t="s">
        <v>125</v>
      </c>
      <c r="B11" s="765"/>
      <c r="C11" s="765"/>
      <c r="D11" s="411" t="s">
        <v>334</v>
      </c>
      <c r="E11" s="101" t="s">
        <v>15</v>
      </c>
      <c r="F11" s="102" t="s">
        <v>14</v>
      </c>
      <c r="G11" s="309" t="s">
        <v>182</v>
      </c>
      <c r="H11" s="103" t="s">
        <v>78</v>
      </c>
      <c r="I11" s="277" t="s">
        <v>18</v>
      </c>
      <c r="J11" s="1053" t="s">
        <v>150</v>
      </c>
      <c r="K11" s="1054"/>
      <c r="L11" s="1054"/>
      <c r="M11" s="1054"/>
      <c r="N11" s="1054"/>
      <c r="O11" s="1055"/>
      <c r="P11" s="1053" t="s">
        <v>151</v>
      </c>
      <c r="Q11" s="1054"/>
      <c r="R11" s="1054"/>
      <c r="S11" s="1054"/>
      <c r="T11" s="1054"/>
      <c r="U11" s="1055"/>
    </row>
    <row r="12" spans="1:22" ht="41.25" customHeight="1" thickBot="1" x14ac:dyDescent="0.25">
      <c r="A12" s="1091" t="s">
        <v>343</v>
      </c>
      <c r="B12" s="1092"/>
      <c r="C12" s="1093"/>
      <c r="D12" s="449">
        <v>18</v>
      </c>
      <c r="E12" s="451">
        <v>460</v>
      </c>
      <c r="F12" s="451">
        <v>600</v>
      </c>
      <c r="G12" s="451">
        <v>0</v>
      </c>
      <c r="H12" s="104">
        <f>(E12)/1000*(F12)/1000*D12*(680/1000)+(G12/1000*2)</f>
        <v>3.3782400000000004</v>
      </c>
      <c r="I12" s="105">
        <f>H12*E12</f>
        <v>1553.9904000000001</v>
      </c>
      <c r="J12" s="1040" t="str">
        <f>IF(E12&lt;240,"Увеличьте высоту фасада (мин. 240 мм)",IF(E12&gt;600,"Уменьшите высоту фасада (макс. 600 мм)",IF(I12&lt;400,"Очень лёгкий фасад, используйте 1 силовой механизм AVENTOS HK-XS тип 11",IF(I12&lt;1200,"2 силовых механизма AVENTOS HK-XS тип 11 или 1 силовой механизм AVENTOS HK-XS тип 13",IF(I12&lt;1350,"2 силовых механизма AVENTOS HK-XS тип 13 или 1 силовой механизм AVENTOS HK-XS тип 15",IF(I12&lt;1700,"2 силовых механизма AVENTOS HK-XS тип 13 или 1 силовой механизм AVENTOS HK-XS тип 15",IF(I12&lt;3600,"2 силовых механизма AVENTOS HK-XS тип 15",IF(I12&gt;3600,"Очень тяжёлый фасад, используйте механизм AVENTOS HK",))))))))</f>
        <v>2 силовых механизма AVENTOS HK-XS тип 13 или 1 силовой механизм AVENTOS HK-XS тип 15</v>
      </c>
      <c r="K12" s="1041"/>
      <c r="L12" s="1041"/>
      <c r="M12" s="1041"/>
      <c r="N12" s="1041"/>
      <c r="O12" s="1042"/>
      <c r="P12" s="1041" t="str">
        <f t="shared" ref="P12:P17" si="0">IF(E12&lt;240,"Увеличьте высоту фасада (мин. 240 мм)",IF(E12&gt;600,"Уменьшите высоту фасада (макс. 600 мм)",IF(I12&lt;360,"Очень лёгкий фасад, используйте 1 силовой механизм AVENTOS HK-XS тип 11Т",IF(I12&lt;1150,"2 силовых механизма AVENTOS HK-XS тип 11Т или 1 силовой механизм AVENTOS HK-XS тип 13Т",IF(I12&lt;1350,"2 силовых механизма AVENTOS HK-XS тип 13Т или 1 силовой механизм AVENTOS HK-XS тип 15Т",IF(I12&lt;1600,"2 силовых механизма AVENTOS HK-XS тип 13Т или 1 силовой механизм AVENTOS HK-XS тип 15Т",IF(I12&lt;3200,"2 силовых механизма AVENTOS HK-XS тип 15Т",IF(I12&gt;3200,"Очень тяжёлый фасад, используйте механизм AVENTOS HK",))))))))</f>
        <v>2 силовых механизма AVENTOS HK-XS тип 13Т или 1 силовой механизм AVENTOS HK-XS тип 15Т</v>
      </c>
      <c r="Q12" s="1041"/>
      <c r="R12" s="1041"/>
      <c r="S12" s="1041"/>
      <c r="T12" s="1041"/>
      <c r="U12" s="1042"/>
    </row>
    <row r="13" spans="1:22" ht="34.5" customHeight="1" thickBot="1" x14ac:dyDescent="0.25">
      <c r="A13" s="1094" t="s">
        <v>344</v>
      </c>
      <c r="B13" s="1095"/>
      <c r="C13" s="1096"/>
      <c r="D13" s="450">
        <v>18</v>
      </c>
      <c r="E13" s="452">
        <v>400</v>
      </c>
      <c r="F13" s="452">
        <v>740</v>
      </c>
      <c r="G13" s="452">
        <v>0</v>
      </c>
      <c r="H13" s="104">
        <f>(E13)/1000*(F13)/1000*D13*(760/1000)+(G13/1000*2)</f>
        <v>4.0492799999999995</v>
      </c>
      <c r="I13" s="107">
        <f t="shared" ref="I13:I17" si="1">H13*E13</f>
        <v>1619.7119999999998</v>
      </c>
      <c r="J13" s="1072" t="str">
        <f t="shared" ref="J13:J16" si="2">IF(E13&lt;240,"Увеличьте высоту фасада (мин. 240 мм)",IF(E13&gt;600,"Уменьшите высоту фасада (макс. 600 мм)",IF(I13&lt;400,"Очень лёгкий фасад, используйте 1 силовой механизм AVENTOS HK-XS тип 11",IF(I13&lt;1200,"2 силовых механизма AVENTOS HK-XS тип 11 или 1 силовой механизм AVENTOS HK-XS тип 13",IF(I13&lt;1350,"2 силовых механизма AVENTOS HK-XS тип 13 или 1 силовой механизм AVENTOS HK-XS тип 15",IF(I13&lt;1700,"2 силовых механизма AVENTOS HK-XS тип 13 или 1 силовой механизм AVENTOS HK-XS тип 15",IF(I13&lt;3600,"2 силовых механизма AVENTOS HK-XS тип 15",IF(I13&gt;3600,"Очень тяжёлый фасад, используйте механизм AVENTOS HK",))))))))</f>
        <v>2 силовых механизма AVENTOS HK-XS тип 13 или 1 силовой механизм AVENTOS HK-XS тип 15</v>
      </c>
      <c r="K13" s="1073"/>
      <c r="L13" s="1073"/>
      <c r="M13" s="1073"/>
      <c r="N13" s="1073"/>
      <c r="O13" s="1074"/>
      <c r="P13" s="1073" t="str">
        <f t="shared" si="0"/>
        <v>2 силовых механизма AVENTOS HK-XS тип 15Т</v>
      </c>
      <c r="Q13" s="1073"/>
      <c r="R13" s="1073"/>
      <c r="S13" s="1073"/>
      <c r="T13" s="1073"/>
      <c r="U13" s="1074"/>
    </row>
    <row r="14" spans="1:22" ht="39" customHeight="1" thickBot="1" x14ac:dyDescent="0.25">
      <c r="A14" s="1091" t="s">
        <v>79</v>
      </c>
      <c r="B14" s="818"/>
      <c r="C14" s="818"/>
      <c r="D14" s="741"/>
      <c r="E14" s="451">
        <v>600</v>
      </c>
      <c r="F14" s="451">
        <v>450</v>
      </c>
      <c r="G14" s="451">
        <v>0</v>
      </c>
      <c r="H14" s="104">
        <f>(E14-4)/1000*(F14-4)/1000*(11.5+0.3*2)+(G14/1000)</f>
        <v>3.2163735999999998</v>
      </c>
      <c r="I14" s="108">
        <f t="shared" si="1"/>
        <v>1929.8241599999999</v>
      </c>
      <c r="J14" s="1040" t="str">
        <f t="shared" si="2"/>
        <v>2 силовых механизма AVENTOS HK-XS тип 15</v>
      </c>
      <c r="K14" s="1041"/>
      <c r="L14" s="1041"/>
      <c r="M14" s="1041"/>
      <c r="N14" s="1041"/>
      <c r="O14" s="1042"/>
      <c r="P14" s="1041" t="str">
        <f t="shared" si="0"/>
        <v>2 силовых механизма AVENTOS HK-XS тип 15Т</v>
      </c>
      <c r="Q14" s="1041"/>
      <c r="R14" s="1041"/>
      <c r="S14" s="1041"/>
      <c r="T14" s="1041"/>
      <c r="U14" s="1042"/>
    </row>
    <row r="15" spans="1:22" ht="38.25" customHeight="1" thickBot="1" x14ac:dyDescent="0.25">
      <c r="A15" s="1121" t="s">
        <v>80</v>
      </c>
      <c r="B15" s="1122"/>
      <c r="C15" s="1122"/>
      <c r="D15" s="954"/>
      <c r="E15" s="452">
        <v>400</v>
      </c>
      <c r="F15" s="452">
        <v>800</v>
      </c>
      <c r="G15" s="452">
        <v>0</v>
      </c>
      <c r="H15" s="106">
        <f>(E15-4)/1000*(F15-4)/1000*(11.5+0.3*2)+(G15/1000)</f>
        <v>3.8141135999999998</v>
      </c>
      <c r="I15" s="109">
        <f t="shared" si="1"/>
        <v>1525.64544</v>
      </c>
      <c r="J15" s="1072" t="str">
        <f t="shared" si="2"/>
        <v>2 силовых механизма AVENTOS HK-XS тип 13 или 1 силовой механизм AVENTOS HK-XS тип 15</v>
      </c>
      <c r="K15" s="1073"/>
      <c r="L15" s="1073"/>
      <c r="M15" s="1073"/>
      <c r="N15" s="1073"/>
      <c r="O15" s="1074"/>
      <c r="P15" s="1073" t="str">
        <f t="shared" si="0"/>
        <v>2 силовых механизма AVENTOS HK-XS тип 13Т или 1 силовой механизм AVENTOS HK-XS тип 15Т</v>
      </c>
      <c r="Q15" s="1073"/>
      <c r="R15" s="1073"/>
      <c r="S15" s="1073"/>
      <c r="T15" s="1073"/>
      <c r="U15" s="1074"/>
    </row>
    <row r="16" spans="1:22" ht="35.25" customHeight="1" thickBot="1" x14ac:dyDescent="0.4">
      <c r="A16" s="1118" t="s">
        <v>172</v>
      </c>
      <c r="B16" s="1119"/>
      <c r="C16" s="1119"/>
      <c r="D16" s="1120"/>
      <c r="E16" s="451">
        <v>450</v>
      </c>
      <c r="F16" s="451">
        <v>600</v>
      </c>
      <c r="G16" s="451">
        <v>0</v>
      </c>
      <c r="H16" s="110">
        <f>(E16-4)/1000*(F16-4)/1000*(8.8+0.3*2)+(G16/1000)</f>
        <v>2.4986704000000004</v>
      </c>
      <c r="I16" s="111">
        <f t="shared" si="1"/>
        <v>1124.4016800000002</v>
      </c>
      <c r="J16" s="1040" t="str">
        <f t="shared" si="2"/>
        <v>2 силовых механизма AVENTOS HK-XS тип 11 или 1 силовой механизм AVENTOS HK-XS тип 13</v>
      </c>
      <c r="K16" s="1041"/>
      <c r="L16" s="1041"/>
      <c r="M16" s="1041"/>
      <c r="N16" s="1041"/>
      <c r="O16" s="1042"/>
      <c r="P16" s="1041" t="str">
        <f t="shared" si="0"/>
        <v>2 силовых механизма AVENTOS HK-XS тип 11Т или 1 силовой механизм AVENTOS HK-XS тип 13Т</v>
      </c>
      <c r="Q16" s="1041"/>
      <c r="R16" s="1041"/>
      <c r="S16" s="1041"/>
      <c r="T16" s="1041"/>
      <c r="U16" s="1042"/>
    </row>
    <row r="17" spans="1:42" ht="35.25" customHeight="1" thickBot="1" x14ac:dyDescent="0.3">
      <c r="A17" s="1102" t="s">
        <v>289</v>
      </c>
      <c r="B17" s="1103"/>
      <c r="C17" s="1103"/>
      <c r="D17" s="1104"/>
      <c r="E17" s="451">
        <v>350</v>
      </c>
      <c r="F17" s="451">
        <v>600</v>
      </c>
      <c r="G17" s="451">
        <v>0</v>
      </c>
      <c r="H17" s="110">
        <f>(E17)/1000*(F17)/1000*4*(2500/1000)+(E17)/1000*(F17)/1000*16*(680/1000)+(G17/1000)</f>
        <v>4.3848000000000003</v>
      </c>
      <c r="I17" s="111">
        <f t="shared" si="1"/>
        <v>1534.68</v>
      </c>
      <c r="J17" s="1040" t="str">
        <f t="shared" ref="J17" si="3">IF(E17&lt;240,"Увеличьте высоту фасада (мин. 240 мм)",IF(E17&gt;600,"Уменьшите высоту фасада (макс. 600 мм)",IF(I17&lt;400,"Очень лёгкий фасад, используйте 1 силовой механизм AVENTOS HK-XS тип 11",IF(I17&lt;1200,"2 силовых механизма AVENTOS HK-XS тип 11 или 1 силовой механизм AVENTOS HK-XS тип 13",IF(I17&lt;1350,"2 силовых механизма AVENTOS HK-XS тип 13 или 1 силовой механизм AVENTOS HK-XS тип 15",IF(I17&lt;1700,"2 силовых механизма AVENTOS HK-XS тип 13 или 1 силовой механизм AVENTOS HK-XS тип 15",IF(I17&lt;3600,"2 силовых механизма AVENTOS HK-XS тип 15",IF(I17&gt;3600,"Очень тяжёлый фасад, используйте механизм AVENTOS HK",))))))))</f>
        <v>2 силовых механизма AVENTOS HK-XS тип 13 или 1 силовой механизм AVENTOS HK-XS тип 15</v>
      </c>
      <c r="K17" s="1041"/>
      <c r="L17" s="1041"/>
      <c r="M17" s="1041"/>
      <c r="N17" s="1041"/>
      <c r="O17" s="1042"/>
      <c r="P17" s="1041" t="str">
        <f t="shared" si="0"/>
        <v>2 силовых механизма AVENTOS HK-XS тип 13Т или 1 силовой механизм AVENTOS HK-XS тип 15Т</v>
      </c>
      <c r="Q17" s="1041"/>
      <c r="R17" s="1041"/>
      <c r="S17" s="1041"/>
      <c r="T17" s="1041"/>
      <c r="U17" s="1042"/>
    </row>
    <row r="18" spans="1:42" ht="23.25" customHeight="1" thickBot="1" x14ac:dyDescent="0.25">
      <c r="A18" s="1116" t="s">
        <v>293</v>
      </c>
      <c r="B18" s="1117"/>
      <c r="C18" s="1117"/>
      <c r="D18" s="1117"/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  <c r="P18" s="1117"/>
      <c r="Q18" s="1117"/>
      <c r="R18" s="1117"/>
      <c r="S18" s="1117"/>
      <c r="T18" s="1117"/>
      <c r="U18" s="1117"/>
      <c r="AH18" s="566"/>
      <c r="AI18" s="566"/>
      <c r="AJ18" s="566"/>
      <c r="AK18" s="566"/>
      <c r="AL18" s="566"/>
      <c r="AM18" s="566"/>
      <c r="AN18" s="566"/>
      <c r="AO18" s="566"/>
    </row>
    <row r="19" spans="1:42" ht="37.5" customHeight="1" x14ac:dyDescent="0.3">
      <c r="A19" s="1078" t="s">
        <v>87</v>
      </c>
      <c r="B19" s="1079"/>
      <c r="C19" s="1079"/>
      <c r="D19" s="1079"/>
      <c r="E19" s="1079"/>
      <c r="F19" s="1079"/>
      <c r="G19" s="1079"/>
      <c r="H19" s="1079"/>
      <c r="I19" s="1079"/>
      <c r="J19" s="1079"/>
      <c r="K19" s="1079"/>
      <c r="L19" s="1080"/>
      <c r="M19" s="522"/>
      <c r="N19" s="1075" t="s">
        <v>356</v>
      </c>
      <c r="O19" s="1076"/>
      <c r="P19" s="1076"/>
      <c r="Q19" s="1077"/>
      <c r="R19" s="549"/>
      <c r="S19" s="1086" t="s">
        <v>357</v>
      </c>
      <c r="T19" s="1087"/>
      <c r="U19" s="1087"/>
      <c r="V19" s="1087"/>
      <c r="W19" s="1088"/>
      <c r="X19" s="523"/>
      <c r="AH19" s="566"/>
      <c r="AI19" s="566"/>
      <c r="AJ19" s="566"/>
      <c r="AK19" s="566"/>
      <c r="AL19" s="566"/>
      <c r="AM19" s="566"/>
      <c r="AN19" s="566"/>
      <c r="AO19" s="566"/>
    </row>
    <row r="20" spans="1:42" ht="28.5" customHeight="1" x14ac:dyDescent="0.2">
      <c r="A20" s="1051" t="s">
        <v>152</v>
      </c>
      <c r="B20" s="1052"/>
      <c r="C20" s="1052"/>
      <c r="D20" s="1052"/>
      <c r="E20" s="1052"/>
      <c r="F20" s="1052"/>
      <c r="G20" s="1052"/>
      <c r="H20" s="1052"/>
      <c r="I20" s="1052"/>
      <c r="J20" s="1052"/>
      <c r="K20" s="1052"/>
      <c r="L20" s="1052"/>
      <c r="M20" s="69"/>
      <c r="N20" s="1084" t="s">
        <v>358</v>
      </c>
      <c r="O20" s="1123"/>
      <c r="P20" s="1123"/>
      <c r="Q20" s="1124"/>
      <c r="R20" s="538"/>
      <c r="S20" s="1084" t="s">
        <v>358</v>
      </c>
      <c r="T20" s="1085"/>
      <c r="U20" s="1085"/>
      <c r="V20" s="1085"/>
      <c r="W20" s="815"/>
      <c r="X20" s="543"/>
      <c r="AG20" s="567"/>
      <c r="AH20" s="573"/>
      <c r="AI20" s="573"/>
      <c r="AJ20" s="573"/>
      <c r="AK20" s="573"/>
      <c r="AL20" s="573"/>
      <c r="AM20" s="573"/>
      <c r="AN20" s="573"/>
      <c r="AO20" s="573"/>
      <c r="AP20" s="567"/>
    </row>
    <row r="21" spans="1:42" ht="59.25" customHeight="1" x14ac:dyDescent="0.25">
      <c r="A21" s="1029" t="s">
        <v>88</v>
      </c>
      <c r="B21" s="1030"/>
      <c r="C21" s="1030"/>
      <c r="D21" s="1030"/>
      <c r="E21" s="1030"/>
      <c r="F21" s="1031"/>
      <c r="G21" s="1031"/>
      <c r="H21" s="1031"/>
      <c r="I21" s="1031"/>
      <c r="J21" s="545" t="s">
        <v>89</v>
      </c>
      <c r="K21" s="546" t="s">
        <v>84</v>
      </c>
      <c r="L21" s="546" t="s">
        <v>85</v>
      </c>
      <c r="N21" s="1099" t="s">
        <v>388</v>
      </c>
      <c r="O21" s="1100"/>
      <c r="P21" s="1089" t="s">
        <v>361</v>
      </c>
      <c r="Q21" s="1101"/>
      <c r="R21" s="533"/>
      <c r="S21" s="1081" t="s">
        <v>389</v>
      </c>
      <c r="T21" s="1082"/>
      <c r="U21" s="1083"/>
      <c r="V21" s="1089" t="s">
        <v>390</v>
      </c>
      <c r="W21" s="874"/>
      <c r="X21" s="544"/>
      <c r="AF21" s="492"/>
      <c r="AG21" s="568"/>
      <c r="AH21" s="574" t="str">
        <f>IF(AK21=1,"0",IF(AK21=2,"9,5 "))</f>
        <v>0</v>
      </c>
      <c r="AI21" s="575" t="s">
        <v>359</v>
      </c>
      <c r="AJ21" s="573">
        <v>0</v>
      </c>
      <c r="AK21" s="573">
        <v>1</v>
      </c>
      <c r="AL21" s="573"/>
      <c r="AM21" s="573" t="str">
        <f>IF(AK21=1,"0",IF(AK21=2,"9,5 "))</f>
        <v>0</v>
      </c>
      <c r="AN21" s="573"/>
      <c r="AO21" s="573"/>
      <c r="AP21" s="567"/>
    </row>
    <row r="22" spans="1:42" ht="33" customHeight="1" x14ac:dyDescent="0.25">
      <c r="A22" s="1029" t="s">
        <v>91</v>
      </c>
      <c r="B22" s="1031"/>
      <c r="C22" s="1031"/>
      <c r="D22" s="1031"/>
      <c r="E22" s="1031"/>
      <c r="F22" s="1031"/>
      <c r="G22" s="1031"/>
      <c r="H22" s="1031"/>
      <c r="I22" s="1031"/>
      <c r="J22" s="1022">
        <v>1</v>
      </c>
      <c r="K22" s="1022"/>
      <c r="L22" s="1022"/>
      <c r="M22" s="7"/>
      <c r="N22" s="1125"/>
      <c r="O22" s="1126"/>
      <c r="P22" s="1127"/>
      <c r="Q22" s="1128"/>
      <c r="R22" s="529"/>
      <c r="S22" s="1111"/>
      <c r="T22" s="1112"/>
      <c r="U22" s="1113"/>
      <c r="V22" s="541"/>
      <c r="W22" s="550"/>
      <c r="X22" s="70"/>
      <c r="AF22" s="492"/>
      <c r="AG22" s="568"/>
      <c r="AH22" s="574">
        <f>AK26</f>
        <v>18</v>
      </c>
      <c r="AI22" s="575" t="s">
        <v>360</v>
      </c>
      <c r="AJ22" s="573">
        <v>9.5</v>
      </c>
      <c r="AK22" s="573"/>
      <c r="AL22" s="573"/>
      <c r="AM22" s="573"/>
      <c r="AN22" s="573"/>
      <c r="AO22" s="573"/>
      <c r="AP22" s="567"/>
    </row>
    <row r="23" spans="1:42" ht="30" customHeight="1" x14ac:dyDescent="0.2">
      <c r="A23" s="1029" t="s">
        <v>93</v>
      </c>
      <c r="B23" s="1030"/>
      <c r="C23" s="1030"/>
      <c r="D23" s="1030"/>
      <c r="E23" s="1030"/>
      <c r="F23" s="1027" t="s">
        <v>94</v>
      </c>
      <c r="G23" s="1027"/>
      <c r="H23" s="1027"/>
      <c r="I23" s="1027"/>
      <c r="J23" s="1022" t="s">
        <v>95</v>
      </c>
      <c r="K23" s="1022"/>
      <c r="L23" s="1022"/>
      <c r="N23" s="1097"/>
      <c r="O23" s="537"/>
      <c r="P23" s="524"/>
      <c r="Q23" s="556"/>
      <c r="R23" s="533"/>
      <c r="S23" s="561"/>
      <c r="T23" s="542"/>
      <c r="U23" s="542"/>
      <c r="V23" s="70"/>
      <c r="W23" s="551"/>
      <c r="X23" s="70"/>
      <c r="AF23" s="492"/>
      <c r="AG23" s="568"/>
      <c r="AH23" s="573"/>
      <c r="AI23" s="573"/>
      <c r="AJ23" s="573"/>
      <c r="AK23" s="573"/>
      <c r="AL23" s="573"/>
      <c r="AM23" s="573"/>
      <c r="AN23" s="573"/>
      <c r="AO23" s="573"/>
      <c r="AP23" s="567"/>
    </row>
    <row r="24" spans="1:42" ht="39" customHeight="1" x14ac:dyDescent="0.2">
      <c r="A24" s="1030"/>
      <c r="B24" s="1030"/>
      <c r="C24" s="1030"/>
      <c r="D24" s="1030"/>
      <c r="E24" s="1030"/>
      <c r="F24" s="1027" t="s">
        <v>96</v>
      </c>
      <c r="G24" s="1027"/>
      <c r="H24" s="1027"/>
      <c r="I24" s="1027"/>
      <c r="J24" s="1022" t="s">
        <v>27</v>
      </c>
      <c r="K24" s="1022"/>
      <c r="L24" s="1022"/>
      <c r="N24" s="1098"/>
      <c r="O24" s="537"/>
      <c r="P24" s="524"/>
      <c r="Q24" s="556"/>
      <c r="R24" s="533"/>
      <c r="S24" s="561"/>
      <c r="T24" s="542"/>
      <c r="U24" s="542"/>
      <c r="V24" s="70"/>
      <c r="W24" s="1109">
        <f>125.5+AL26+AM21</f>
        <v>141.5</v>
      </c>
      <c r="X24" s="70"/>
      <c r="AF24" s="492"/>
      <c r="AG24" s="568"/>
      <c r="AH24" s="573"/>
      <c r="AI24" s="573"/>
      <c r="AJ24" s="573"/>
      <c r="AK24" s="573"/>
      <c r="AL24" s="573"/>
      <c r="AM24" s="573"/>
      <c r="AN24" s="573"/>
      <c r="AO24" s="573"/>
      <c r="AP24" s="567"/>
    </row>
    <row r="25" spans="1:42" ht="41.25" customHeight="1" x14ac:dyDescent="0.2">
      <c r="A25" s="1026" t="s">
        <v>97</v>
      </c>
      <c r="B25" s="901"/>
      <c r="C25" s="901"/>
      <c r="D25" s="901"/>
      <c r="E25" s="901"/>
      <c r="F25" s="1027" t="s">
        <v>98</v>
      </c>
      <c r="G25" s="1027"/>
      <c r="H25" s="1027"/>
      <c r="I25" s="1027"/>
      <c r="J25" s="1022" t="s">
        <v>99</v>
      </c>
      <c r="K25" s="1022"/>
      <c r="L25" s="1022"/>
      <c r="M25" s="7"/>
      <c r="N25" s="569" t="s">
        <v>29</v>
      </c>
      <c r="O25" s="527"/>
      <c r="P25" s="525"/>
      <c r="Q25" s="557"/>
      <c r="R25" s="534"/>
      <c r="S25" s="561"/>
      <c r="T25" s="542"/>
      <c r="U25" s="542"/>
      <c r="V25" s="70"/>
      <c r="W25" s="1110"/>
      <c r="X25" s="77"/>
      <c r="AF25" s="492"/>
      <c r="AG25" s="568"/>
      <c r="AH25" s="573"/>
      <c r="AI25" s="573"/>
      <c r="AJ25" s="573"/>
      <c r="AK25" s="573"/>
      <c r="AL25" s="573"/>
      <c r="AM25" s="573"/>
      <c r="AN25" s="573"/>
      <c r="AO25" s="573"/>
      <c r="AP25" s="567"/>
    </row>
    <row r="26" spans="1:42" ht="68.25" customHeight="1" x14ac:dyDescent="0.35">
      <c r="A26" s="901"/>
      <c r="B26" s="901"/>
      <c r="C26" s="901"/>
      <c r="D26" s="901"/>
      <c r="E26" s="901"/>
      <c r="F26" s="1027" t="s">
        <v>103</v>
      </c>
      <c r="G26" s="1027"/>
      <c r="H26" s="1027"/>
      <c r="I26" s="1027"/>
      <c r="J26" s="1022" t="s">
        <v>104</v>
      </c>
      <c r="K26" s="1022"/>
      <c r="L26" s="1022"/>
      <c r="N26" s="570">
        <f>137+AH21+AH22</f>
        <v>155</v>
      </c>
      <c r="O26" s="527"/>
      <c r="P26" s="525"/>
      <c r="Q26" s="557"/>
      <c r="R26" s="534"/>
      <c r="S26" s="561"/>
      <c r="T26" s="542"/>
      <c r="U26" s="542"/>
      <c r="V26" s="70"/>
      <c r="W26" s="572">
        <f>15.5+AO26</f>
        <v>31.5</v>
      </c>
      <c r="X26" s="70"/>
      <c r="AF26" s="492"/>
      <c r="AG26" s="568"/>
      <c r="AH26" s="573"/>
      <c r="AI26" s="573"/>
      <c r="AJ26" s="573" t="s">
        <v>376</v>
      </c>
      <c r="AK26" s="573">
        <v>18</v>
      </c>
      <c r="AL26" s="573">
        <v>16</v>
      </c>
      <c r="AM26" s="573" t="s">
        <v>376</v>
      </c>
      <c r="AN26" s="573" t="s">
        <v>376</v>
      </c>
      <c r="AO26" s="573">
        <v>16</v>
      </c>
      <c r="AP26" s="567"/>
    </row>
    <row r="27" spans="1:42" ht="43.5" customHeight="1" x14ac:dyDescent="0.2">
      <c r="A27" s="1018" t="s">
        <v>107</v>
      </c>
      <c r="B27" s="1028"/>
      <c r="C27" s="1028"/>
      <c r="D27" s="1028"/>
      <c r="E27" s="1028"/>
      <c r="F27" s="1028"/>
      <c r="G27" s="1028"/>
      <c r="H27" s="1028"/>
      <c r="I27" s="1028"/>
      <c r="J27" s="1022" t="s">
        <v>77</v>
      </c>
      <c r="K27" s="1022"/>
      <c r="L27" s="1022"/>
      <c r="N27" s="571" t="s">
        <v>387</v>
      </c>
      <c r="O27" s="532"/>
      <c r="P27" s="526"/>
      <c r="Q27" s="558"/>
      <c r="R27" s="535"/>
      <c r="S27" s="562"/>
      <c r="T27" s="535"/>
      <c r="U27" s="535"/>
      <c r="V27" s="70"/>
      <c r="W27" s="551"/>
      <c r="X27" s="70"/>
      <c r="AF27" s="492"/>
      <c r="AG27" s="568"/>
      <c r="AH27" s="573"/>
      <c r="AI27" s="573"/>
      <c r="AJ27" s="573" t="s">
        <v>377</v>
      </c>
      <c r="AK27" s="573"/>
      <c r="AL27" s="573"/>
      <c r="AM27" s="573" t="s">
        <v>377</v>
      </c>
      <c r="AN27" s="573" t="s">
        <v>377</v>
      </c>
      <c r="AO27" s="573"/>
      <c r="AP27" s="567"/>
    </row>
    <row r="28" spans="1:42" ht="38.25" customHeight="1" x14ac:dyDescent="0.2">
      <c r="A28" s="1020" t="s">
        <v>355</v>
      </c>
      <c r="B28" s="1021"/>
      <c r="C28" s="1021"/>
      <c r="D28" s="1021"/>
      <c r="E28" s="1021"/>
      <c r="F28" s="1021"/>
      <c r="G28" s="1021"/>
      <c r="H28" s="1021"/>
      <c r="I28" s="1021"/>
      <c r="J28" s="1021"/>
      <c r="K28" s="1021"/>
      <c r="L28" s="967"/>
      <c r="N28" s="1114"/>
      <c r="O28" s="536"/>
      <c r="P28" s="539"/>
      <c r="Q28" s="559"/>
      <c r="R28" s="531"/>
      <c r="S28" s="563"/>
      <c r="T28" s="547"/>
      <c r="U28" s="547"/>
      <c r="V28" s="548"/>
      <c r="W28" s="565"/>
      <c r="X28" s="24"/>
      <c r="AF28" s="492"/>
      <c r="AG28" s="568"/>
      <c r="AH28" s="573"/>
      <c r="AI28" s="573"/>
      <c r="AJ28" s="573" t="s">
        <v>378</v>
      </c>
      <c r="AK28" s="573"/>
      <c r="AL28" s="573"/>
      <c r="AM28" s="573" t="s">
        <v>378</v>
      </c>
      <c r="AN28" s="573" t="s">
        <v>378</v>
      </c>
      <c r="AO28" s="573"/>
      <c r="AP28" s="567"/>
    </row>
    <row r="29" spans="1:42" ht="27.75" customHeight="1" thickBot="1" x14ac:dyDescent="0.25">
      <c r="A29" s="1029" t="s">
        <v>88</v>
      </c>
      <c r="B29" s="1030"/>
      <c r="C29" s="1030"/>
      <c r="D29" s="1030"/>
      <c r="E29" s="1030"/>
      <c r="F29" s="1031"/>
      <c r="G29" s="1031"/>
      <c r="H29" s="1031"/>
      <c r="I29" s="545" t="s">
        <v>82</v>
      </c>
      <c r="J29" s="545" t="s">
        <v>90</v>
      </c>
      <c r="K29" s="1022" t="s">
        <v>86</v>
      </c>
      <c r="L29" s="1023"/>
      <c r="N29" s="1115"/>
      <c r="O29" s="552"/>
      <c r="P29" s="553"/>
      <c r="Q29" s="560"/>
      <c r="R29" s="553"/>
      <c r="S29" s="564"/>
      <c r="T29" s="554"/>
      <c r="U29" s="553"/>
      <c r="V29" s="555"/>
      <c r="W29" s="528"/>
      <c r="X29" s="24"/>
      <c r="AF29" s="492"/>
      <c r="AG29" s="568"/>
      <c r="AH29" s="573"/>
      <c r="AI29" s="573"/>
      <c r="AJ29" s="573" t="s">
        <v>219</v>
      </c>
      <c r="AK29" s="573"/>
      <c r="AL29" s="573"/>
      <c r="AM29" s="573" t="s">
        <v>219</v>
      </c>
      <c r="AN29" s="573" t="s">
        <v>219</v>
      </c>
      <c r="AO29" s="573"/>
      <c r="AP29" s="567"/>
    </row>
    <row r="30" spans="1:42" ht="27.75" customHeight="1" x14ac:dyDescent="0.2">
      <c r="A30" s="1029" t="s">
        <v>91</v>
      </c>
      <c r="B30" s="1031"/>
      <c r="C30" s="1031"/>
      <c r="D30" s="1031"/>
      <c r="E30" s="1031"/>
      <c r="F30" s="1031"/>
      <c r="G30" s="1031"/>
      <c r="H30" s="1031"/>
      <c r="I30" s="1022" t="s">
        <v>92</v>
      </c>
      <c r="J30" s="1022"/>
      <c r="K30" s="1022"/>
      <c r="L30" s="1023"/>
      <c r="N30" s="530"/>
      <c r="O30" s="531"/>
      <c r="P30" s="531"/>
      <c r="Q30" s="531"/>
      <c r="R30" s="531"/>
      <c r="S30" s="531"/>
      <c r="T30" s="531"/>
      <c r="U30" s="531"/>
      <c r="V30" s="70"/>
      <c r="W30" s="24"/>
      <c r="X30" s="24"/>
      <c r="AF30" s="492"/>
      <c r="AG30" s="568"/>
      <c r="AH30" s="573"/>
      <c r="AI30" s="573"/>
      <c r="AJ30" s="573" t="s">
        <v>379</v>
      </c>
      <c r="AK30" s="573"/>
      <c r="AL30" s="573"/>
      <c r="AM30" s="573" t="s">
        <v>379</v>
      </c>
      <c r="AN30" s="573" t="s">
        <v>379</v>
      </c>
      <c r="AO30" s="573"/>
      <c r="AP30" s="567"/>
    </row>
    <row r="31" spans="1:42" ht="48" customHeight="1" x14ac:dyDescent="0.2">
      <c r="A31" s="1029" t="s">
        <v>93</v>
      </c>
      <c r="B31" s="1030"/>
      <c r="C31" s="1030"/>
      <c r="D31" s="1030"/>
      <c r="E31" s="1030"/>
      <c r="F31" s="1027" t="s">
        <v>94</v>
      </c>
      <c r="G31" s="1027"/>
      <c r="H31" s="1027"/>
      <c r="I31" s="1022" t="s">
        <v>95</v>
      </c>
      <c r="J31" s="1022"/>
      <c r="K31" s="1022"/>
      <c r="L31" s="1024"/>
      <c r="AF31" s="492"/>
      <c r="AG31" s="568"/>
      <c r="AH31" s="573"/>
      <c r="AI31" s="573"/>
      <c r="AJ31" s="573" t="s">
        <v>380</v>
      </c>
      <c r="AK31" s="573"/>
      <c r="AL31" s="573"/>
      <c r="AM31" s="573" t="s">
        <v>380</v>
      </c>
      <c r="AN31" s="573" t="s">
        <v>380</v>
      </c>
      <c r="AO31" s="573"/>
      <c r="AP31" s="567"/>
    </row>
    <row r="32" spans="1:42" ht="27.75" customHeight="1" x14ac:dyDescent="0.2">
      <c r="A32" s="1030"/>
      <c r="B32" s="1030"/>
      <c r="C32" s="1030"/>
      <c r="D32" s="1030"/>
      <c r="E32" s="1030"/>
      <c r="F32" s="1027" t="s">
        <v>96</v>
      </c>
      <c r="G32" s="1027"/>
      <c r="H32" s="1027"/>
      <c r="I32" s="1022" t="s">
        <v>27</v>
      </c>
      <c r="J32" s="1022"/>
      <c r="K32" s="1022"/>
      <c r="L32" s="1024"/>
      <c r="AF32" s="492"/>
      <c r="AG32" s="568"/>
      <c r="AH32" s="573"/>
      <c r="AI32" s="573"/>
      <c r="AJ32" s="573" t="s">
        <v>381</v>
      </c>
      <c r="AK32" s="573"/>
      <c r="AL32" s="573"/>
      <c r="AM32" s="573" t="s">
        <v>381</v>
      </c>
      <c r="AN32" s="573" t="s">
        <v>381</v>
      </c>
      <c r="AO32" s="573"/>
      <c r="AP32" s="567"/>
    </row>
    <row r="33" spans="1:42" ht="38.25" customHeight="1" x14ac:dyDescent="0.2">
      <c r="A33" s="1026" t="s">
        <v>100</v>
      </c>
      <c r="B33" s="901"/>
      <c r="C33" s="901"/>
      <c r="D33" s="901"/>
      <c r="E33" s="901"/>
      <c r="F33" s="1027" t="s">
        <v>101</v>
      </c>
      <c r="G33" s="1027"/>
      <c r="H33" s="1027"/>
      <c r="I33" s="1022" t="s">
        <v>102</v>
      </c>
      <c r="J33" s="1022"/>
      <c r="K33" s="1022"/>
      <c r="L33" s="1025"/>
      <c r="AF33" s="492"/>
      <c r="AG33" s="568"/>
      <c r="AH33" s="573"/>
      <c r="AI33" s="573"/>
      <c r="AJ33" s="573" t="s">
        <v>382</v>
      </c>
      <c r="AK33" s="573"/>
      <c r="AL33" s="573"/>
      <c r="AM33" s="573" t="s">
        <v>382</v>
      </c>
      <c r="AN33" s="573" t="s">
        <v>382</v>
      </c>
      <c r="AO33" s="573"/>
      <c r="AP33" s="567"/>
    </row>
    <row r="34" spans="1:42" ht="50.25" customHeight="1" x14ac:dyDescent="0.2">
      <c r="A34" s="901"/>
      <c r="B34" s="901"/>
      <c r="C34" s="901"/>
      <c r="D34" s="901"/>
      <c r="E34" s="901"/>
      <c r="F34" s="1027" t="s">
        <v>105</v>
      </c>
      <c r="G34" s="1027"/>
      <c r="H34" s="1027"/>
      <c r="I34" s="1022" t="s">
        <v>106</v>
      </c>
      <c r="J34" s="1022"/>
      <c r="K34" s="1022"/>
      <c r="L34" s="1024"/>
      <c r="AF34" s="492"/>
      <c r="AG34" s="568"/>
      <c r="AH34" s="573"/>
      <c r="AI34" s="573"/>
      <c r="AJ34" s="573" t="s">
        <v>383</v>
      </c>
      <c r="AK34" s="573"/>
      <c r="AL34" s="573"/>
      <c r="AM34" s="573" t="s">
        <v>383</v>
      </c>
      <c r="AN34" s="573" t="s">
        <v>383</v>
      </c>
      <c r="AO34" s="573"/>
      <c r="AP34" s="567"/>
    </row>
    <row r="35" spans="1:42" ht="27.75" customHeight="1" x14ac:dyDescent="0.2">
      <c r="A35" s="1018" t="s">
        <v>108</v>
      </c>
      <c r="B35" s="1028"/>
      <c r="C35" s="1028"/>
      <c r="D35" s="1028"/>
      <c r="E35" s="1028"/>
      <c r="F35" s="1028"/>
      <c r="G35" s="1028"/>
      <c r="H35" s="1028"/>
      <c r="I35" s="1022" t="s">
        <v>77</v>
      </c>
      <c r="J35" s="1022"/>
      <c r="K35" s="1022"/>
      <c r="L35" s="1024"/>
      <c r="AF35" s="492"/>
      <c r="AG35" s="568"/>
      <c r="AH35" s="573"/>
      <c r="AI35" s="573"/>
      <c r="AJ35" s="573" t="s">
        <v>243</v>
      </c>
      <c r="AK35" s="573"/>
      <c r="AL35" s="573"/>
      <c r="AM35" s="573" t="s">
        <v>243</v>
      </c>
      <c r="AN35" s="573" t="s">
        <v>243</v>
      </c>
      <c r="AO35" s="573"/>
      <c r="AP35" s="567"/>
    </row>
    <row r="36" spans="1:42" ht="42" customHeight="1" x14ac:dyDescent="0.2">
      <c r="A36" s="1018" t="s">
        <v>169</v>
      </c>
      <c r="B36" s="1019"/>
      <c r="C36" s="1019"/>
      <c r="D36" s="1019"/>
      <c r="E36" s="1019"/>
      <c r="F36" s="1019"/>
      <c r="G36" s="1019"/>
      <c r="H36" s="1019"/>
      <c r="I36" s="1022" t="s">
        <v>109</v>
      </c>
      <c r="J36" s="1023"/>
      <c r="K36" s="1023"/>
      <c r="L36" s="1024"/>
      <c r="AF36" s="492"/>
      <c r="AG36" s="568"/>
      <c r="AH36" s="573"/>
      <c r="AI36" s="573"/>
      <c r="AJ36" s="573" t="s">
        <v>384</v>
      </c>
      <c r="AK36" s="573"/>
      <c r="AL36" s="573"/>
      <c r="AM36" s="573" t="s">
        <v>384</v>
      </c>
      <c r="AN36" s="573" t="s">
        <v>384</v>
      </c>
      <c r="AO36" s="573"/>
      <c r="AP36" s="567"/>
    </row>
    <row r="37" spans="1:42" ht="27.75" customHeight="1" x14ac:dyDescent="0.2">
      <c r="A37" s="1018" t="s">
        <v>110</v>
      </c>
      <c r="B37" s="1019"/>
      <c r="C37" s="1019"/>
      <c r="D37" s="1019"/>
      <c r="E37" s="1019"/>
      <c r="F37" s="1019"/>
      <c r="G37" s="1019"/>
      <c r="H37" s="1019"/>
      <c r="I37" s="1022" t="s">
        <v>47</v>
      </c>
      <c r="J37" s="1023"/>
      <c r="K37" s="1023"/>
      <c r="L37" s="1024"/>
      <c r="AF37" s="492"/>
      <c r="AG37" s="568"/>
      <c r="AH37" s="573"/>
      <c r="AI37" s="573"/>
      <c r="AJ37" s="573" t="s">
        <v>385</v>
      </c>
      <c r="AK37" s="573"/>
      <c r="AL37" s="573"/>
      <c r="AM37" s="573" t="s">
        <v>385</v>
      </c>
      <c r="AN37" s="573" t="s">
        <v>385</v>
      </c>
      <c r="AO37" s="573"/>
      <c r="AP37" s="567"/>
    </row>
    <row r="38" spans="1:42" ht="28.5" customHeight="1" x14ac:dyDescent="0.2">
      <c r="A38" s="1018" t="s">
        <v>111</v>
      </c>
      <c r="B38" s="1019"/>
      <c r="C38" s="1019"/>
      <c r="D38" s="1019"/>
      <c r="E38" s="1019"/>
      <c r="F38" s="1019"/>
      <c r="G38" s="1019"/>
      <c r="H38" s="1019"/>
      <c r="I38" s="1022" t="s">
        <v>112</v>
      </c>
      <c r="J38" s="1023"/>
      <c r="K38" s="1023"/>
      <c r="L38" s="1024"/>
      <c r="AF38" s="492"/>
      <c r="AG38" s="568"/>
      <c r="AH38" s="573"/>
      <c r="AI38" s="573"/>
      <c r="AJ38" s="573" t="s">
        <v>386</v>
      </c>
      <c r="AK38" s="573"/>
      <c r="AL38" s="573"/>
      <c r="AM38" s="573" t="s">
        <v>386</v>
      </c>
      <c r="AN38" s="573" t="s">
        <v>386</v>
      </c>
      <c r="AO38" s="573"/>
      <c r="AP38" s="567"/>
    </row>
    <row r="39" spans="1:42" ht="13.5" thickBot="1" x14ac:dyDescent="0.25">
      <c r="AF39" s="492"/>
      <c r="AG39" s="568"/>
      <c r="AH39" s="573"/>
      <c r="AI39" s="573"/>
      <c r="AJ39" s="573" t="s">
        <v>362</v>
      </c>
      <c r="AK39" s="573"/>
      <c r="AL39" s="573"/>
      <c r="AM39" s="573" t="s">
        <v>362</v>
      </c>
      <c r="AN39" s="573" t="s">
        <v>362</v>
      </c>
      <c r="AO39" s="573"/>
      <c r="AP39" s="567"/>
    </row>
    <row r="40" spans="1:42" ht="30.75" customHeight="1" thickBot="1" x14ac:dyDescent="0.4">
      <c r="A40" s="1105" t="s">
        <v>466</v>
      </c>
      <c r="B40" s="1106"/>
      <c r="C40" s="1106"/>
      <c r="D40" s="1106"/>
      <c r="E40" s="1106"/>
      <c r="F40" s="1106"/>
      <c r="G40" s="1106"/>
      <c r="H40" s="1106"/>
      <c r="I40" s="1107"/>
      <c r="J40" s="1107"/>
      <c r="K40" s="1107"/>
      <c r="L40" s="1108"/>
      <c r="AF40" s="492"/>
      <c r="AG40" s="568"/>
      <c r="AH40" s="573"/>
      <c r="AI40" s="573"/>
      <c r="AJ40" s="573" t="s">
        <v>363</v>
      </c>
      <c r="AK40" s="573"/>
      <c r="AL40" s="573"/>
      <c r="AM40" s="573" t="s">
        <v>363</v>
      </c>
      <c r="AN40" s="573" t="s">
        <v>363</v>
      </c>
      <c r="AO40" s="573"/>
      <c r="AP40" s="567"/>
    </row>
    <row r="41" spans="1:42" x14ac:dyDescent="0.2">
      <c r="AF41" s="492"/>
      <c r="AG41" s="568"/>
      <c r="AH41" s="573"/>
      <c r="AI41" s="573"/>
      <c r="AJ41" s="573" t="s">
        <v>233</v>
      </c>
      <c r="AK41" s="573"/>
      <c r="AL41" s="573"/>
      <c r="AM41" s="573" t="s">
        <v>233</v>
      </c>
      <c r="AN41" s="573" t="s">
        <v>233</v>
      </c>
      <c r="AO41" s="573"/>
      <c r="AP41" s="567"/>
    </row>
    <row r="42" spans="1:42" x14ac:dyDescent="0.2">
      <c r="AF42" s="492"/>
      <c r="AG42" s="568"/>
      <c r="AH42" s="573"/>
      <c r="AI42" s="573"/>
      <c r="AJ42" s="573" t="s">
        <v>364</v>
      </c>
      <c r="AK42" s="573"/>
      <c r="AL42" s="573"/>
      <c r="AM42" s="573" t="s">
        <v>364</v>
      </c>
      <c r="AN42" s="573" t="s">
        <v>364</v>
      </c>
      <c r="AO42" s="573"/>
      <c r="AP42" s="567"/>
    </row>
    <row r="43" spans="1:42" x14ac:dyDescent="0.2">
      <c r="AF43" s="492"/>
      <c r="AG43" s="568"/>
      <c r="AH43" s="573"/>
      <c r="AI43" s="573"/>
      <c r="AJ43" s="573" t="s">
        <v>227</v>
      </c>
      <c r="AK43" s="573"/>
      <c r="AL43" s="573"/>
      <c r="AM43" s="573" t="s">
        <v>227</v>
      </c>
      <c r="AN43" s="573" t="s">
        <v>227</v>
      </c>
      <c r="AO43" s="573"/>
      <c r="AP43" s="567"/>
    </row>
    <row r="44" spans="1:42" x14ac:dyDescent="0.2">
      <c r="AF44" s="492"/>
      <c r="AG44" s="568"/>
      <c r="AH44" s="573"/>
      <c r="AI44" s="573"/>
      <c r="AJ44" s="573" t="s">
        <v>194</v>
      </c>
      <c r="AK44" s="573"/>
      <c r="AL44" s="573"/>
      <c r="AM44" s="573"/>
      <c r="AN44" s="573"/>
      <c r="AO44" s="573"/>
      <c r="AP44" s="567"/>
    </row>
    <row r="45" spans="1:42" x14ac:dyDescent="0.2">
      <c r="AF45" s="492"/>
      <c r="AG45" s="568"/>
      <c r="AH45" s="573"/>
      <c r="AI45" s="573"/>
      <c r="AJ45" s="573" t="s">
        <v>365</v>
      </c>
      <c r="AK45" s="573"/>
      <c r="AL45" s="573"/>
      <c r="AM45" s="573"/>
      <c r="AN45" s="573"/>
      <c r="AO45" s="573"/>
      <c r="AP45" s="567"/>
    </row>
    <row r="46" spans="1:42" x14ac:dyDescent="0.2">
      <c r="AF46" s="492"/>
      <c r="AG46" s="568"/>
      <c r="AH46" s="573"/>
      <c r="AI46" s="573"/>
      <c r="AJ46" s="573" t="s">
        <v>366</v>
      </c>
      <c r="AK46" s="573"/>
      <c r="AL46" s="573"/>
      <c r="AM46" s="573"/>
      <c r="AN46" s="573"/>
      <c r="AO46" s="573"/>
      <c r="AP46" s="567"/>
    </row>
    <row r="47" spans="1:42" x14ac:dyDescent="0.2">
      <c r="AF47" s="492"/>
      <c r="AG47" s="568"/>
      <c r="AH47" s="573"/>
      <c r="AI47" s="573"/>
      <c r="AJ47" s="573" t="s">
        <v>367</v>
      </c>
      <c r="AK47" s="573"/>
      <c r="AL47" s="573"/>
      <c r="AM47" s="573"/>
      <c r="AN47" s="573"/>
      <c r="AO47" s="573"/>
      <c r="AP47" s="567"/>
    </row>
    <row r="48" spans="1:42" x14ac:dyDescent="0.2">
      <c r="AF48" s="492"/>
      <c r="AG48" s="568"/>
      <c r="AH48" s="573"/>
      <c r="AI48" s="573"/>
      <c r="AJ48" s="573" t="s">
        <v>368</v>
      </c>
      <c r="AK48" s="573"/>
      <c r="AL48" s="573"/>
      <c r="AM48" s="573"/>
      <c r="AN48" s="573"/>
      <c r="AO48" s="573"/>
      <c r="AP48" s="567"/>
    </row>
    <row r="49" spans="32:42" x14ac:dyDescent="0.2">
      <c r="AF49" s="492"/>
      <c r="AG49" s="568"/>
      <c r="AH49" s="573"/>
      <c r="AI49" s="573"/>
      <c r="AJ49" s="573" t="s">
        <v>369</v>
      </c>
      <c r="AK49" s="573"/>
      <c r="AL49" s="573"/>
      <c r="AM49" s="573"/>
      <c r="AN49" s="573"/>
      <c r="AO49" s="573"/>
      <c r="AP49" s="567"/>
    </row>
    <row r="50" spans="32:42" x14ac:dyDescent="0.2">
      <c r="AF50" s="492"/>
      <c r="AG50" s="568"/>
      <c r="AH50" s="573"/>
      <c r="AI50" s="573"/>
      <c r="AJ50" s="573" t="s">
        <v>370</v>
      </c>
      <c r="AK50" s="573"/>
      <c r="AL50" s="573"/>
      <c r="AM50" s="573"/>
      <c r="AN50" s="573"/>
      <c r="AO50" s="573"/>
      <c r="AP50" s="567"/>
    </row>
    <row r="51" spans="32:42" x14ac:dyDescent="0.2">
      <c r="AF51" s="492"/>
      <c r="AG51" s="568"/>
      <c r="AH51" s="573"/>
      <c r="AI51" s="573"/>
      <c r="AJ51" s="573" t="s">
        <v>371</v>
      </c>
      <c r="AK51" s="573"/>
      <c r="AL51" s="573"/>
      <c r="AM51" s="573"/>
      <c r="AN51" s="573"/>
      <c r="AO51" s="573"/>
      <c r="AP51" s="567"/>
    </row>
    <row r="52" spans="32:42" x14ac:dyDescent="0.2">
      <c r="AF52" s="492"/>
      <c r="AG52" s="568"/>
      <c r="AH52" s="573"/>
      <c r="AI52" s="573"/>
      <c r="AJ52" s="573" t="s">
        <v>372</v>
      </c>
      <c r="AK52" s="573"/>
      <c r="AL52" s="573"/>
      <c r="AM52" s="573"/>
      <c r="AN52" s="573"/>
      <c r="AO52" s="573"/>
      <c r="AP52" s="567"/>
    </row>
    <row r="53" spans="32:42" x14ac:dyDescent="0.2">
      <c r="AF53" s="492"/>
      <c r="AG53" s="568"/>
      <c r="AH53" s="573"/>
      <c r="AI53" s="573"/>
      <c r="AJ53" s="573" t="s">
        <v>373</v>
      </c>
      <c r="AK53" s="573"/>
      <c r="AL53" s="573"/>
      <c r="AM53" s="573"/>
      <c r="AN53" s="573"/>
      <c r="AO53" s="573"/>
      <c r="AP53" s="567"/>
    </row>
    <row r="54" spans="32:42" x14ac:dyDescent="0.2">
      <c r="AF54" s="492"/>
      <c r="AG54" s="568"/>
      <c r="AH54" s="573"/>
      <c r="AI54" s="573"/>
      <c r="AJ54" s="573" t="s">
        <v>374</v>
      </c>
      <c r="AK54" s="573"/>
      <c r="AL54" s="573"/>
      <c r="AM54" s="573"/>
      <c r="AN54" s="573"/>
      <c r="AO54" s="573"/>
      <c r="AP54" s="567"/>
    </row>
    <row r="55" spans="32:42" x14ac:dyDescent="0.2">
      <c r="AF55" s="492"/>
      <c r="AG55" s="568"/>
      <c r="AH55" s="573"/>
      <c r="AI55" s="573"/>
      <c r="AJ55" s="573" t="s">
        <v>375</v>
      </c>
      <c r="AK55" s="573"/>
      <c r="AL55" s="573"/>
      <c r="AM55" s="573"/>
      <c r="AN55" s="573"/>
      <c r="AO55" s="573"/>
      <c r="AP55" s="567"/>
    </row>
    <row r="56" spans="32:42" x14ac:dyDescent="0.2">
      <c r="AF56" s="492"/>
      <c r="AG56" s="568"/>
      <c r="AH56" s="573"/>
      <c r="AI56" s="573"/>
      <c r="AJ56" s="573"/>
      <c r="AK56" s="573"/>
      <c r="AL56" s="573"/>
      <c r="AM56" s="573"/>
      <c r="AN56" s="573"/>
      <c r="AO56" s="573"/>
      <c r="AP56" s="567"/>
    </row>
    <row r="57" spans="32:42" x14ac:dyDescent="0.2">
      <c r="AF57" s="492"/>
      <c r="AG57" s="568"/>
      <c r="AH57" s="573"/>
      <c r="AI57" s="573"/>
      <c r="AJ57" s="573"/>
      <c r="AK57" s="573"/>
      <c r="AL57" s="573"/>
      <c r="AM57" s="573"/>
      <c r="AN57" s="573"/>
      <c r="AO57" s="573"/>
      <c r="AP57" s="567"/>
    </row>
    <row r="58" spans="32:42" x14ac:dyDescent="0.2">
      <c r="AF58" s="492"/>
      <c r="AG58" s="568"/>
      <c r="AH58" s="573"/>
      <c r="AI58" s="573"/>
      <c r="AJ58" s="573"/>
      <c r="AK58" s="573"/>
      <c r="AL58" s="573"/>
      <c r="AM58" s="573"/>
      <c r="AN58" s="573"/>
      <c r="AO58" s="573"/>
      <c r="AP58" s="567"/>
    </row>
    <row r="59" spans="32:42" x14ac:dyDescent="0.2">
      <c r="AH59" s="566"/>
      <c r="AI59" s="566"/>
      <c r="AJ59" s="566"/>
      <c r="AK59" s="566"/>
      <c r="AL59" s="566"/>
      <c r="AM59" s="566"/>
      <c r="AN59" s="566"/>
      <c r="AO59" s="566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rotectedRanges>
    <protectedRange sqref="E12:G17" name="Диапазон1"/>
  </protectedRanges>
  <customSheetViews>
    <customSheetView guid="{A25B6F15-9B48-4230-9C30-183637D1319E}" scale="80" showGridLines="0" topLeftCell="A10">
      <selection activeCell="H14" sqref="H14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117">
    <mergeCell ref="A40:L40"/>
    <mergeCell ref="W24:W25"/>
    <mergeCell ref="S22:U22"/>
    <mergeCell ref="N28:N29"/>
    <mergeCell ref="J15:O15"/>
    <mergeCell ref="P15:U15"/>
    <mergeCell ref="J16:O16"/>
    <mergeCell ref="A18:U18"/>
    <mergeCell ref="A16:D16"/>
    <mergeCell ref="A15:D15"/>
    <mergeCell ref="A27:I27"/>
    <mergeCell ref="J27:L27"/>
    <mergeCell ref="P16:U16"/>
    <mergeCell ref="A23:E24"/>
    <mergeCell ref="F24:I24"/>
    <mergeCell ref="J24:L24"/>
    <mergeCell ref="A25:E26"/>
    <mergeCell ref="F25:I25"/>
    <mergeCell ref="J25:L25"/>
    <mergeCell ref="F26:I26"/>
    <mergeCell ref="J26:L26"/>
    <mergeCell ref="N20:Q20"/>
    <mergeCell ref="N22:O22"/>
    <mergeCell ref="P22:Q22"/>
    <mergeCell ref="N23:N24"/>
    <mergeCell ref="P12:U12"/>
    <mergeCell ref="A21:I21"/>
    <mergeCell ref="N21:O21"/>
    <mergeCell ref="P21:Q21"/>
    <mergeCell ref="A14:D14"/>
    <mergeCell ref="A17:D17"/>
    <mergeCell ref="J17:O17"/>
    <mergeCell ref="P17:U17"/>
    <mergeCell ref="A6:C7"/>
    <mergeCell ref="E6:F6"/>
    <mergeCell ref="J13:O13"/>
    <mergeCell ref="P13:U13"/>
    <mergeCell ref="J14:O14"/>
    <mergeCell ref="P14:U14"/>
    <mergeCell ref="N19:Q19"/>
    <mergeCell ref="A19:L19"/>
    <mergeCell ref="S21:U21"/>
    <mergeCell ref="S20:W20"/>
    <mergeCell ref="S19:W19"/>
    <mergeCell ref="V21:W21"/>
    <mergeCell ref="A11:C11"/>
    <mergeCell ref="A12:C12"/>
    <mergeCell ref="A13:C13"/>
    <mergeCell ref="A1:U1"/>
    <mergeCell ref="A10:U10"/>
    <mergeCell ref="N6:P7"/>
    <mergeCell ref="R6:S6"/>
    <mergeCell ref="T6:U6"/>
    <mergeCell ref="R7:S7"/>
    <mergeCell ref="T7:U7"/>
    <mergeCell ref="N8:P9"/>
    <mergeCell ref="R8:S8"/>
    <mergeCell ref="T8:U8"/>
    <mergeCell ref="N2:Q3"/>
    <mergeCell ref="R2:U2"/>
    <mergeCell ref="R3:S3"/>
    <mergeCell ref="T3:U3"/>
    <mergeCell ref="N4:P5"/>
    <mergeCell ref="R4:S4"/>
    <mergeCell ref="E3:F3"/>
    <mergeCell ref="A4:C5"/>
    <mergeCell ref="A2:D3"/>
    <mergeCell ref="E2:I2"/>
    <mergeCell ref="R9:S9"/>
    <mergeCell ref="E7:F7"/>
    <mergeCell ref="T9:U9"/>
    <mergeCell ref="T4:U4"/>
    <mergeCell ref="R5:S5"/>
    <mergeCell ref="T5:U5"/>
    <mergeCell ref="E9:F9"/>
    <mergeCell ref="A8:C9"/>
    <mergeCell ref="E8:F8"/>
    <mergeCell ref="F31:H31"/>
    <mergeCell ref="F32:H32"/>
    <mergeCell ref="J12:O12"/>
    <mergeCell ref="G3:I3"/>
    <mergeCell ref="G4:I4"/>
    <mergeCell ref="G5:I5"/>
    <mergeCell ref="G6:I6"/>
    <mergeCell ref="G7:I7"/>
    <mergeCell ref="G8:I8"/>
    <mergeCell ref="G9:I9"/>
    <mergeCell ref="E4:F4"/>
    <mergeCell ref="E5:F5"/>
    <mergeCell ref="A22:I22"/>
    <mergeCell ref="J22:L22"/>
    <mergeCell ref="F23:I23"/>
    <mergeCell ref="J23:L23"/>
    <mergeCell ref="A20:L20"/>
    <mergeCell ref="J11:O11"/>
    <mergeCell ref="P11:U11"/>
    <mergeCell ref="A37:H37"/>
    <mergeCell ref="A38:H38"/>
    <mergeCell ref="A28:L28"/>
    <mergeCell ref="K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A33:E34"/>
    <mergeCell ref="F33:H33"/>
    <mergeCell ref="F34:H34"/>
    <mergeCell ref="A35:H35"/>
    <mergeCell ref="A36:H36"/>
    <mergeCell ref="A29:H29"/>
    <mergeCell ref="A30:H30"/>
    <mergeCell ref="A31:E32"/>
  </mergeCells>
  <phoneticPr fontId="4" type="noConversion"/>
  <conditionalFormatting sqref="J12:U17">
    <cfRule type="containsText" dxfId="87" priority="1" operator="containsText" text="Уменьшите высоту фасада">
      <formula>NOT(ISERROR(SEARCH("Уменьшите высоту фасада",J12)))</formula>
    </cfRule>
    <cfRule type="containsText" dxfId="86" priority="2" operator="containsText" text="Увеличьте высоту фасада">
      <formula>NOT(ISERROR(SEARCH("Увеличьте высоту фасада",J12)))</formula>
    </cfRule>
    <cfRule type="containsText" dxfId="85" priority="5" stopIfTrue="1" operator="containsText" text="Очень">
      <formula>NOT(ISERROR(SEARCH("Очень",J12)))</formula>
    </cfRule>
  </conditionalFormatting>
  <hyperlinks>
    <hyperlink ref="V1" location="Содержание!R1C1" display="← СОДЕРЖАНИЕ:" xr:uid="{00000000-0004-0000-0B00-000000000000}"/>
  </hyperlinks>
  <pageMargins left="0.75" right="0.75" top="1" bottom="1" header="0.5" footer="0.5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39" r:id="rId5" name="Drop Down 31">
              <controlPr defaultSize="0" autoLine="0" autoPict="0" altText="">
                <anchor moveWithCells="1">
                  <from>
                    <xdr:col>13</xdr:col>
                    <xdr:colOff>0</xdr:colOff>
                    <xdr:row>21</xdr:row>
                    <xdr:rowOff>9525</xdr:rowOff>
                  </from>
                  <to>
                    <xdr:col>15</xdr:col>
                    <xdr:colOff>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6" name="Drop Down 34">
              <controlPr locked="0" defaultSize="0" autoLine="0" autoPict="0">
                <anchor moveWithCells="1">
                  <from>
                    <xdr:col>14</xdr:col>
                    <xdr:colOff>762000</xdr:colOff>
                    <xdr:row>21</xdr:row>
                    <xdr:rowOff>0</xdr:rowOff>
                  </from>
                  <to>
                    <xdr:col>16</xdr:col>
                    <xdr:colOff>876300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7" name="Drop Down 40">
              <controlPr locked="0" defaultSize="0" autoLine="0" autoPict="0">
                <anchor moveWithCells="1">
                  <from>
                    <xdr:col>17</xdr:col>
                    <xdr:colOff>542925</xdr:colOff>
                    <xdr:row>21</xdr:row>
                    <xdr:rowOff>0</xdr:rowOff>
                  </from>
                  <to>
                    <xdr:col>21</xdr:col>
                    <xdr:colOff>9525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8" name="Drop Down 42">
              <controlPr locked="0" defaultSize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666750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5">
    <tabColor rgb="FF5F5F5F"/>
  </sheetPr>
  <dimension ref="A1:BF52"/>
  <sheetViews>
    <sheetView showGridLines="0" topLeftCell="B1" zoomScaleNormal="100" workbookViewId="0">
      <selection activeCell="AL1" sqref="AL1"/>
    </sheetView>
  </sheetViews>
  <sheetFormatPr defaultColWidth="9.140625" defaultRowHeight="15" x14ac:dyDescent="0.25"/>
  <cols>
    <col min="1" max="1" width="3.28515625" style="163" customWidth="1"/>
    <col min="2" max="2" width="33" style="163" customWidth="1"/>
    <col min="3" max="4" width="10.7109375" style="163" customWidth="1"/>
    <col min="5" max="5" width="11.140625" style="163" customWidth="1"/>
    <col min="6" max="7" width="2" style="163" customWidth="1"/>
    <col min="8" max="8" width="28.5703125" style="163" customWidth="1"/>
    <col min="9" max="10" width="2" style="163" customWidth="1"/>
    <col min="11" max="11" width="4.7109375" style="163" customWidth="1"/>
    <col min="12" max="12" width="4" style="163" customWidth="1"/>
    <col min="13" max="30" width="2" style="163" customWidth="1"/>
    <col min="31" max="31" width="3.140625" style="163" customWidth="1"/>
    <col min="32" max="34" width="2" style="163" customWidth="1"/>
    <col min="35" max="35" width="2.42578125" style="163" customWidth="1"/>
    <col min="36" max="36" width="2" style="163" customWidth="1"/>
    <col min="37" max="37" width="3.7109375" style="163" customWidth="1"/>
    <col min="38" max="38" width="20.85546875" style="163" customWidth="1"/>
    <col min="39" max="39" width="18.42578125" style="163" customWidth="1"/>
    <col min="40" max="40" width="9.140625" style="163" customWidth="1"/>
    <col min="41" max="41" width="21.140625" style="163" hidden="1" customWidth="1"/>
    <col min="42" max="42" width="9.140625" style="163" hidden="1" customWidth="1"/>
    <col min="43" max="43" width="19.42578125" style="163" hidden="1" customWidth="1"/>
    <col min="44" max="44" width="10.42578125" style="163" hidden="1" customWidth="1"/>
    <col min="45" max="45" width="20.28515625" style="163" hidden="1" customWidth="1"/>
    <col min="46" max="46" width="24" style="163" hidden="1" customWidth="1"/>
    <col min="47" max="47" width="11.42578125" style="163" hidden="1" customWidth="1"/>
    <col min="48" max="48" width="11.28515625" style="163" hidden="1" customWidth="1"/>
    <col min="49" max="49" width="10.28515625" style="163" hidden="1" customWidth="1"/>
    <col min="50" max="50" width="9" style="163" hidden="1" customWidth="1"/>
    <col min="51" max="52" width="9.140625" style="163" hidden="1" customWidth="1"/>
    <col min="53" max="53" width="12.42578125" style="163" hidden="1" customWidth="1"/>
    <col min="54" max="55" width="14.85546875" style="163" hidden="1" customWidth="1"/>
    <col min="56" max="57" width="0" style="163" hidden="1" customWidth="1"/>
    <col min="58" max="16384" width="9.140625" style="163"/>
  </cols>
  <sheetData>
    <row r="1" spans="1:58" ht="52.5" customHeight="1" thickBot="1" x14ac:dyDescent="0.3">
      <c r="A1" s="1196" t="s">
        <v>283</v>
      </c>
      <c r="B1" s="1197"/>
      <c r="C1" s="1197"/>
      <c r="D1" s="1197"/>
      <c r="E1" s="1197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  <c r="U1" s="1198"/>
      <c r="V1" s="1198"/>
      <c r="W1" s="1198"/>
      <c r="X1" s="1198"/>
      <c r="Y1" s="1198"/>
      <c r="Z1" s="1198"/>
      <c r="AA1" s="1198"/>
      <c r="AB1" s="1198"/>
      <c r="AC1" s="1198"/>
      <c r="AD1" s="1198"/>
      <c r="AE1" s="1198"/>
      <c r="AF1" s="1198"/>
      <c r="AG1" s="1198"/>
      <c r="AH1" s="1198"/>
      <c r="AI1" s="1198"/>
      <c r="AJ1" s="1198"/>
      <c r="AK1" s="1199"/>
      <c r="AL1" s="360" t="s">
        <v>295</v>
      </c>
      <c r="AN1" s="228"/>
      <c r="AO1" s="229" t="s">
        <v>256</v>
      </c>
      <c r="AP1" s="216" t="s">
        <v>255</v>
      </c>
      <c r="AQ1" s="216" t="s">
        <v>197</v>
      </c>
      <c r="AR1" s="216" t="s">
        <v>254</v>
      </c>
      <c r="AS1" s="223" t="s">
        <v>253</v>
      </c>
      <c r="AT1" s="226" t="s">
        <v>252</v>
      </c>
      <c r="AU1" s="1200" t="s">
        <v>251</v>
      </c>
      <c r="AV1" s="1200"/>
      <c r="AW1" s="1200"/>
      <c r="AX1" s="1200"/>
      <c r="AY1" s="1200"/>
      <c r="AZ1" s="228" t="s">
        <v>250</v>
      </c>
      <c r="BA1" s="227" t="s">
        <v>249</v>
      </c>
      <c r="BB1" s="223" t="s">
        <v>248</v>
      </c>
      <c r="BC1" s="223" t="s">
        <v>247</v>
      </c>
      <c r="BD1" s="223" t="s">
        <v>246</v>
      </c>
      <c r="BE1" s="223" t="s">
        <v>222</v>
      </c>
    </row>
    <row r="2" spans="1:58" ht="21.75" customHeight="1" x14ac:dyDescent="0.25">
      <c r="A2" s="219"/>
      <c r="B2" s="218"/>
      <c r="C2" s="218"/>
      <c r="D2" s="218"/>
      <c r="E2" s="218"/>
      <c r="AK2" s="217"/>
      <c r="AN2" s="164"/>
      <c r="AO2" s="216" t="s">
        <v>245</v>
      </c>
      <c r="AP2" s="216">
        <v>270</v>
      </c>
      <c r="AQ2" s="216" t="s">
        <v>244</v>
      </c>
      <c r="AR2" s="216">
        <v>680</v>
      </c>
      <c r="AS2" s="223" t="s">
        <v>243</v>
      </c>
      <c r="AT2" s="226" t="s">
        <v>242</v>
      </c>
      <c r="AU2" s="223" t="s">
        <v>241</v>
      </c>
      <c r="AV2" s="223" t="s">
        <v>240</v>
      </c>
      <c r="AW2" s="223" t="s">
        <v>239</v>
      </c>
      <c r="AX2" s="223" t="s">
        <v>238</v>
      </c>
      <c r="AY2" s="223" t="s">
        <v>237</v>
      </c>
      <c r="AZ2" s="163">
        <f>IF(AE20&lt;0,0,IF(AE20&lt;2.51,1,IF(AE20&lt;5.01,2,IF(AE20&lt;7.51,3,IF(AE20&lt;10.01,4,IF(AE20&lt;12.51,5,IF(AE20&lt;15.01,6,IF(AE20&lt;17.51,7,IF(AE20&lt;20.01,8,IF(AE20&lt;22.51,9,IF(AE20&lt;25.01,10,IF(AE20&lt;27.51,11,IF(AE20&lt;30.01,12,IF(AE20&lt;32.51,13,IF(AE20&lt;35.01,14,IF(AE20&lt;37.51,15,IF(AE20&lt;40.01,16,IF(AE20&lt;42.51,17,IF(AE20&lt;45.01,18,IF(AE20&lt;47.51,19,IF(AE20&lt;50.01,20,IF(AE20&lt;52.51,21,IF(AE20&lt;55.01,22,IF(AE20&lt;57.51,23,IF(AE20&lt;60,24,25)))))))))))))))))))))))))</f>
        <v>3</v>
      </c>
      <c r="BA2" s="223" t="s">
        <v>236</v>
      </c>
      <c r="BB2" s="223">
        <v>1.6890000000000001</v>
      </c>
      <c r="BC2" s="223">
        <v>1.829</v>
      </c>
      <c r="BD2" s="223">
        <f>63*(C19-38)/1000000</f>
        <v>3.5406E-2</v>
      </c>
      <c r="BE2" s="223">
        <f>(C18-10)*(C19-35)/1000000</f>
        <v>0.27684999999999998</v>
      </c>
    </row>
    <row r="3" spans="1:58" ht="14.25" customHeight="1" x14ac:dyDescent="0.25">
      <c r="A3" s="219"/>
      <c r="B3" s="218"/>
      <c r="C3" s="218"/>
      <c r="D3" s="218"/>
      <c r="E3" s="218"/>
      <c r="AK3" s="217"/>
      <c r="AN3" s="164"/>
      <c r="AO3" s="216" t="s">
        <v>235</v>
      </c>
      <c r="AP3" s="216">
        <v>300</v>
      </c>
      <c r="AQ3" s="216" t="s">
        <v>234</v>
      </c>
      <c r="AR3" s="216">
        <v>550</v>
      </c>
      <c r="AS3" s="223" t="s">
        <v>233</v>
      </c>
      <c r="AT3" s="226" t="s">
        <v>232</v>
      </c>
      <c r="AU3" s="223" t="s">
        <v>231</v>
      </c>
      <c r="AV3" s="223">
        <v>1</v>
      </c>
      <c r="AW3" s="223">
        <f>IF(C18=AP6,BB9,BC9)</f>
        <v>1.829</v>
      </c>
      <c r="AX3" s="223">
        <v>1</v>
      </c>
      <c r="AY3" s="223">
        <f>AV3*AW3*AX3</f>
        <v>1.829</v>
      </c>
      <c r="BA3" s="223" t="s">
        <v>230</v>
      </c>
      <c r="BB3" s="223">
        <v>1.417</v>
      </c>
      <c r="BC3" s="223">
        <v>1.53</v>
      </c>
      <c r="BD3" s="223">
        <f>39*(C19-38)/1000000</f>
        <v>2.1918E-2</v>
      </c>
      <c r="BE3" s="223">
        <f>(C18-10)*(C19-35)/1000000</f>
        <v>0.27684999999999998</v>
      </c>
    </row>
    <row r="4" spans="1:58" ht="14.25" customHeight="1" x14ac:dyDescent="0.25">
      <c r="A4" s="219"/>
      <c r="B4" s="218"/>
      <c r="C4" s="218"/>
      <c r="D4" s="218"/>
      <c r="E4" s="218"/>
      <c r="AK4" s="217"/>
      <c r="AN4" s="164"/>
      <c r="AO4" s="216" t="s">
        <v>229</v>
      </c>
      <c r="AP4" s="216">
        <v>350</v>
      </c>
      <c r="AQ4" s="216" t="s">
        <v>228</v>
      </c>
      <c r="AR4" s="216">
        <v>750</v>
      </c>
      <c r="AS4" s="223" t="s">
        <v>227</v>
      </c>
      <c r="AU4" s="223" t="s">
        <v>226</v>
      </c>
      <c r="AV4" s="223">
        <f>BD9</f>
        <v>3.5406E-2</v>
      </c>
      <c r="AW4" s="223">
        <f>AR2</f>
        <v>680</v>
      </c>
      <c r="AX4" s="223">
        <v>16</v>
      </c>
      <c r="AY4" s="223">
        <f>AV4*AW4*AX4/1000</f>
        <v>0.38521728</v>
      </c>
      <c r="BA4" s="223" t="s">
        <v>225</v>
      </c>
      <c r="BB4" s="223">
        <v>2.17</v>
      </c>
      <c r="BC4" s="223">
        <v>2.3359999999999999</v>
      </c>
      <c r="BD4" s="223">
        <f>101*(C19-38)/1000000</f>
        <v>5.6762E-2</v>
      </c>
      <c r="BE4" s="223">
        <f>(C18-10)*(C19-35)/1000000</f>
        <v>0.27684999999999998</v>
      </c>
    </row>
    <row r="5" spans="1:58" ht="14.25" customHeight="1" x14ac:dyDescent="0.25">
      <c r="A5" s="219"/>
      <c r="B5" s="218"/>
      <c r="C5" s="218"/>
      <c r="D5" s="218"/>
      <c r="E5" s="218"/>
      <c r="AK5" s="217"/>
      <c r="AN5" s="164"/>
      <c r="AO5" s="216" t="s">
        <v>224</v>
      </c>
      <c r="AP5" s="216">
        <v>400</v>
      </c>
      <c r="AQ5" s="216" t="s">
        <v>223</v>
      </c>
      <c r="AR5" s="216">
        <v>690</v>
      </c>
      <c r="AS5" s="223" t="s">
        <v>194</v>
      </c>
      <c r="AU5" s="223" t="s">
        <v>222</v>
      </c>
      <c r="AV5" s="223">
        <f>BE9</f>
        <v>0.27684999999999998</v>
      </c>
      <c r="AW5" s="223">
        <f>AR2</f>
        <v>680</v>
      </c>
      <c r="AX5" s="223">
        <v>16</v>
      </c>
      <c r="AY5" s="223">
        <f>AV5*AW5*AX5/1000</f>
        <v>3.0121279999999997</v>
      </c>
      <c r="BA5" s="223" t="s">
        <v>221</v>
      </c>
      <c r="BB5" s="223">
        <v>2.6259999999999999</v>
      </c>
      <c r="BC5" s="223">
        <v>2.871</v>
      </c>
      <c r="BD5" s="223">
        <f>148*(C19-38)/1000000</f>
        <v>8.3176E-2</v>
      </c>
      <c r="BE5" s="223">
        <f>(C18-10)*(C19-35)/1000000</f>
        <v>0.27684999999999998</v>
      </c>
    </row>
    <row r="6" spans="1:58" ht="14.25" customHeight="1" x14ac:dyDescent="0.25">
      <c r="A6" s="219"/>
      <c r="B6" s="218"/>
      <c r="C6" s="218"/>
      <c r="D6" s="218"/>
      <c r="E6" s="218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1"/>
      <c r="AL6" s="220"/>
      <c r="AN6" s="164"/>
      <c r="AO6" s="216" t="s">
        <v>220</v>
      </c>
      <c r="AP6" s="216">
        <v>450</v>
      </c>
      <c r="AQ6" s="216" t="s">
        <v>195</v>
      </c>
      <c r="AR6" s="216">
        <v>760</v>
      </c>
      <c r="AS6" s="223" t="s">
        <v>219</v>
      </c>
      <c r="AU6" s="223" t="s">
        <v>218</v>
      </c>
      <c r="AV6" s="223">
        <f>C23*C24/1000000</f>
        <v>0</v>
      </c>
      <c r="AW6" s="223">
        <f>IF(C22=AQ2,AR2,IF(C22=AQ3,AR3,IF(C22=AQ4,AR4,IF(C22=AQ5,AR5,IF(C22=AQ6,AR6,IF(C22=AQ7,AR7,0))))))</f>
        <v>760</v>
      </c>
      <c r="AX6" s="223">
        <f>IF(D22=AS2,10,IF(D22=AS3,16,IF(D22=AS4,18,IF(D22=AS5,19,IF(D22=AS6,4,0)))))</f>
        <v>19</v>
      </c>
      <c r="AY6" s="223">
        <f>AV6*AW6*AX6/1000</f>
        <v>0</v>
      </c>
      <c r="BA6" s="223" t="s">
        <v>217</v>
      </c>
      <c r="BB6" s="223">
        <v>3.411</v>
      </c>
      <c r="BC6" s="223">
        <v>3.673</v>
      </c>
      <c r="BD6" s="223">
        <f>212*(C19-38)/1000000</f>
        <v>0.119144</v>
      </c>
      <c r="BE6" s="223">
        <f>(C18-10)*(C19-35)/1000000</f>
        <v>0.27684999999999998</v>
      </c>
    </row>
    <row r="7" spans="1:58" ht="14.25" customHeight="1" x14ac:dyDescent="0.25">
      <c r="A7" s="219"/>
      <c r="B7" s="218"/>
      <c r="C7" s="218"/>
      <c r="D7" s="218"/>
      <c r="E7" s="218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5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1"/>
      <c r="AL7" s="220"/>
      <c r="AO7" s="216" t="s">
        <v>216</v>
      </c>
      <c r="AP7" s="216">
        <v>500</v>
      </c>
      <c r="AQ7" s="216" t="s">
        <v>215</v>
      </c>
      <c r="AR7" s="216">
        <v>900</v>
      </c>
      <c r="AS7" s="223"/>
      <c r="AY7" s="222">
        <f>SUM(AY3:AY6)</f>
        <v>5.2263452799999994</v>
      </c>
      <c r="BA7" s="223" t="s">
        <v>214</v>
      </c>
      <c r="BB7" s="223">
        <f>2.027+(0.796/1043*(C19-126))</f>
        <v>2.3887488015340366</v>
      </c>
      <c r="BC7" s="223">
        <f>2.167+(0.796/1043*(C19-126))</f>
        <v>2.5287488015340363</v>
      </c>
      <c r="BD7" s="223">
        <f>63*(C19-38)/1000000</f>
        <v>3.5406E-2</v>
      </c>
      <c r="BE7" s="223">
        <f>(C18-10)*(C19-35)/1000000</f>
        <v>0.27684999999999998</v>
      </c>
    </row>
    <row r="8" spans="1:58" ht="14.25" customHeight="1" x14ac:dyDescent="0.25">
      <c r="A8" s="219"/>
      <c r="B8" s="218"/>
      <c r="C8" s="218"/>
      <c r="D8" s="218"/>
      <c r="E8" s="218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1"/>
      <c r="AL8" s="220"/>
      <c r="AO8" s="216" t="s">
        <v>213</v>
      </c>
      <c r="AP8" s="216">
        <v>550</v>
      </c>
      <c r="AQ8" s="164"/>
      <c r="AR8" s="164"/>
      <c r="AY8" s="224"/>
      <c r="BA8" s="223" t="s">
        <v>212</v>
      </c>
      <c r="BB8" s="223">
        <f>3.102+(0.796/1043*(C19-126))+(0.344/1080*(C19-90))</f>
        <v>3.6261932459784809</v>
      </c>
      <c r="BC8" s="223">
        <f>3.347+(0.796/1043*(C19-126))+(0.344/1080*(C19-90))</f>
        <v>3.871193245978481</v>
      </c>
      <c r="BD8" s="223">
        <f>148*(C19-38)/1000000</f>
        <v>8.3176E-2</v>
      </c>
      <c r="BE8" s="223">
        <f>(C18-10)*(C19-35)/1000000</f>
        <v>0.27684999999999998</v>
      </c>
    </row>
    <row r="9" spans="1:58" ht="14.25" customHeight="1" x14ac:dyDescent="0.25">
      <c r="A9" s="219"/>
      <c r="B9" s="218"/>
      <c r="C9" s="218"/>
      <c r="D9" s="218"/>
      <c r="E9" s="218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1"/>
      <c r="AL9" s="220"/>
      <c r="AP9" s="216">
        <v>600</v>
      </c>
      <c r="AQ9" s="164"/>
      <c r="AR9" s="164"/>
      <c r="BA9" s="223" t="s">
        <v>211</v>
      </c>
      <c r="BB9" s="222">
        <f>IF(C17=AO2,BB3,IF(C17=AO3,BB2,IF(C17=AO4,BB4,IF(C17=AO5,BB5,IF(C17=AO6,BB6,IF(C17=AO7,BB7,IF(C17=AO8,BB8,0)))))))</f>
        <v>1.6890000000000001</v>
      </c>
      <c r="BC9" s="222">
        <f>IF(C17=AO2,BC3,IF(C17=AO3,BC2,IF(C17=AO4,BC4,IF(C17=AO5,BC5,IF(C17=AO6,BC6,IF(C17=AO7,BC7,IF(C17=AO8,BC8,0)))))))</f>
        <v>1.829</v>
      </c>
      <c r="BD9" s="222">
        <f>IF(C17=AO2,BD3,IF(C17=AO3,BD2,IF(C17=AO4,BD4,IF(C17=AO5,BD5,IF(C17=AO6,BD6,IF(C17=AO7,BD7,IF(C17=AO8,BD8,0)))))))</f>
        <v>3.5406E-2</v>
      </c>
      <c r="BE9" s="222">
        <f>(C18-10)*(C19-35)/1000000</f>
        <v>0.27684999999999998</v>
      </c>
    </row>
    <row r="10" spans="1:58" ht="14.25" customHeight="1" x14ac:dyDescent="0.25">
      <c r="A10" s="219"/>
      <c r="B10" s="218"/>
      <c r="C10" s="218"/>
      <c r="D10" s="218"/>
      <c r="E10" s="218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1"/>
      <c r="AL10" s="220"/>
      <c r="AP10" s="216">
        <v>650</v>
      </c>
      <c r="AQ10" s="164"/>
      <c r="AR10" s="164"/>
    </row>
    <row r="11" spans="1:58" ht="14.25" customHeight="1" x14ac:dyDescent="0.25">
      <c r="A11" s="219"/>
      <c r="B11" s="218"/>
      <c r="C11" s="218"/>
      <c r="D11" s="218"/>
      <c r="E11" s="218"/>
      <c r="AK11" s="217"/>
      <c r="AP11" s="216">
        <v>700</v>
      </c>
      <c r="AQ11" s="164"/>
      <c r="AR11" s="164"/>
      <c r="BF11" s="73"/>
    </row>
    <row r="12" spans="1:58" ht="12.75" customHeight="1" x14ac:dyDescent="0.25">
      <c r="A12" s="1201" t="s">
        <v>210</v>
      </c>
      <c r="B12" s="1202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3"/>
      <c r="AP12" s="216">
        <v>750</v>
      </c>
      <c r="AQ12" s="164"/>
      <c r="AR12" s="164"/>
    </row>
    <row r="13" spans="1:58" ht="13.5" customHeight="1" x14ac:dyDescent="0.25">
      <c r="A13" s="215" t="s">
        <v>209</v>
      </c>
      <c r="B13" s="212"/>
      <c r="C13" s="212"/>
      <c r="D13" s="212"/>
      <c r="E13" s="212"/>
      <c r="F13" s="214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09"/>
      <c r="AP13" s="164"/>
      <c r="AQ13" s="164"/>
      <c r="AR13" s="164"/>
    </row>
    <row r="14" spans="1:58" ht="12" customHeight="1" x14ac:dyDescent="0.25">
      <c r="A14" s="213" t="s">
        <v>208</v>
      </c>
      <c r="B14" s="212"/>
      <c r="C14" s="212"/>
      <c r="D14" s="212"/>
      <c r="E14" s="212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09"/>
      <c r="AP14" s="164"/>
      <c r="AQ14" s="164"/>
      <c r="AR14" s="164"/>
    </row>
    <row r="15" spans="1:58" ht="15" customHeight="1" x14ac:dyDescent="0.25">
      <c r="A15" s="283"/>
      <c r="B15" s="1156" t="s">
        <v>207</v>
      </c>
      <c r="C15" s="1156"/>
      <c r="D15" s="1156"/>
      <c r="E15" s="201"/>
      <c r="F15" s="201"/>
      <c r="G15" s="201"/>
      <c r="H15" s="201"/>
      <c r="I15" s="201"/>
      <c r="J15" s="201"/>
      <c r="K15" s="201"/>
      <c r="L15" s="208"/>
      <c r="M15" s="1204" t="s">
        <v>206</v>
      </c>
      <c r="N15" s="1204"/>
      <c r="O15" s="1204"/>
      <c r="P15" s="1204"/>
      <c r="Q15" s="1204"/>
      <c r="R15" s="1204"/>
      <c r="S15" s="1204"/>
      <c r="T15" s="1204"/>
      <c r="U15" s="1204"/>
      <c r="V15" s="1204"/>
      <c r="W15" s="1204"/>
      <c r="X15" s="1204"/>
      <c r="Y15" s="1204"/>
      <c r="Z15" s="1204"/>
      <c r="AA15" s="1204"/>
      <c r="AB15" s="1204"/>
      <c r="AC15" s="1204"/>
      <c r="AD15" s="1204"/>
      <c r="AE15" s="1204"/>
      <c r="AF15" s="1204"/>
      <c r="AG15" s="1204"/>
      <c r="AH15" s="1204"/>
      <c r="AI15" s="1204"/>
      <c r="AJ15" s="1204"/>
      <c r="AK15" s="173"/>
      <c r="AP15" s="164"/>
      <c r="AQ15" s="164"/>
      <c r="AR15" s="164"/>
    </row>
    <row r="16" spans="1:58" ht="18.75" customHeight="1" x14ac:dyDescent="0.25">
      <c r="A16" s="283"/>
      <c r="B16" s="1156"/>
      <c r="C16" s="1156"/>
      <c r="D16" s="1156"/>
      <c r="E16" s="201"/>
      <c r="F16" s="165"/>
      <c r="G16" s="196"/>
      <c r="H16" s="195"/>
      <c r="I16" s="290"/>
      <c r="J16" s="201"/>
      <c r="K16" s="201"/>
      <c r="L16" s="208"/>
      <c r="M16" s="1204"/>
      <c r="N16" s="1204"/>
      <c r="O16" s="1204"/>
      <c r="P16" s="1204"/>
      <c r="Q16" s="1204"/>
      <c r="R16" s="1204"/>
      <c r="S16" s="1204"/>
      <c r="T16" s="1204"/>
      <c r="U16" s="1204"/>
      <c r="V16" s="1204"/>
      <c r="W16" s="1204"/>
      <c r="X16" s="1204"/>
      <c r="Y16" s="1204"/>
      <c r="Z16" s="1204"/>
      <c r="AA16" s="1204"/>
      <c r="AB16" s="1204"/>
      <c r="AC16" s="1204"/>
      <c r="AD16" s="1204"/>
      <c r="AE16" s="1204"/>
      <c r="AF16" s="1204"/>
      <c r="AG16" s="1204"/>
      <c r="AH16" s="1204"/>
      <c r="AI16" s="1204"/>
      <c r="AJ16" s="1204"/>
      <c r="AK16" s="173"/>
      <c r="AP16" s="164"/>
      <c r="AQ16" s="164"/>
      <c r="AR16" s="164"/>
    </row>
    <row r="17" spans="1:44" ht="18.75" customHeight="1" x14ac:dyDescent="0.25">
      <c r="A17" s="283"/>
      <c r="B17" s="194" t="s">
        <v>205</v>
      </c>
      <c r="C17" s="1205" t="s">
        <v>281</v>
      </c>
      <c r="D17" s="1205"/>
      <c r="E17" s="174"/>
      <c r="F17" s="166"/>
      <c r="G17" s="196"/>
      <c r="H17" s="170"/>
      <c r="I17" s="290"/>
      <c r="J17" s="174"/>
      <c r="K17" s="174"/>
      <c r="L17" s="208"/>
      <c r="M17" s="1204"/>
      <c r="N17" s="1204"/>
      <c r="O17" s="1204"/>
      <c r="P17" s="1204"/>
      <c r="Q17" s="1204"/>
      <c r="R17" s="1204"/>
      <c r="S17" s="1204"/>
      <c r="T17" s="1204"/>
      <c r="U17" s="1204"/>
      <c r="V17" s="1204"/>
      <c r="W17" s="1204"/>
      <c r="X17" s="1204"/>
      <c r="Y17" s="1204"/>
      <c r="Z17" s="1204"/>
      <c r="AA17" s="1204"/>
      <c r="AB17" s="1204"/>
      <c r="AC17" s="1204"/>
      <c r="AD17" s="1204"/>
      <c r="AE17" s="1204"/>
      <c r="AF17" s="1204"/>
      <c r="AG17" s="1204"/>
      <c r="AH17" s="1204"/>
      <c r="AI17" s="1204"/>
      <c r="AJ17" s="1204"/>
      <c r="AK17" s="173"/>
      <c r="AP17" s="164"/>
      <c r="AQ17" s="164"/>
      <c r="AR17" s="164"/>
    </row>
    <row r="18" spans="1:44" ht="18.75" customHeight="1" x14ac:dyDescent="0.25">
      <c r="A18" s="283"/>
      <c r="B18" s="207" t="s">
        <v>204</v>
      </c>
      <c r="C18" s="1176">
        <v>500</v>
      </c>
      <c r="D18" s="1176"/>
      <c r="E18" s="289"/>
      <c r="F18" s="206"/>
      <c r="G18" s="196"/>
      <c r="H18" s="170"/>
      <c r="I18" s="290"/>
      <c r="J18" s="174"/>
      <c r="K18" s="174"/>
      <c r="L18" s="201"/>
      <c r="M18" s="1165" t="s">
        <v>203</v>
      </c>
      <c r="N18" s="1166"/>
      <c r="O18" s="1166"/>
      <c r="P18" s="1166"/>
      <c r="Q18" s="1166"/>
      <c r="R18" s="1194"/>
      <c r="S18" s="1165" t="s">
        <v>202</v>
      </c>
      <c r="T18" s="1166"/>
      <c r="U18" s="1166"/>
      <c r="V18" s="1166"/>
      <c r="W18" s="1166"/>
      <c r="X18" s="1166"/>
      <c r="Y18" s="1181" t="s">
        <v>201</v>
      </c>
      <c r="Z18" s="1182"/>
      <c r="AA18" s="1182"/>
      <c r="AB18" s="1182"/>
      <c r="AC18" s="1182"/>
      <c r="AD18" s="1183"/>
      <c r="AE18" s="1187" t="s">
        <v>200</v>
      </c>
      <c r="AF18" s="1187"/>
      <c r="AG18" s="1187"/>
      <c r="AH18" s="1187"/>
      <c r="AI18" s="1187"/>
      <c r="AJ18" s="1187"/>
      <c r="AK18" s="173"/>
      <c r="AP18" s="164"/>
      <c r="AQ18" s="164"/>
      <c r="AR18" s="164"/>
    </row>
    <row r="19" spans="1:44" ht="18.75" customHeight="1" x14ac:dyDescent="0.25">
      <c r="A19" s="283"/>
      <c r="B19" s="205" t="s">
        <v>199</v>
      </c>
      <c r="C19" s="1177">
        <v>600</v>
      </c>
      <c r="D19" s="1177"/>
      <c r="E19" s="174"/>
      <c r="F19" s="166"/>
      <c r="G19" s="196"/>
      <c r="H19" s="170"/>
      <c r="I19" s="290"/>
      <c r="J19" s="174"/>
      <c r="K19" s="174"/>
      <c r="L19" s="201"/>
      <c r="M19" s="1167"/>
      <c r="N19" s="1168"/>
      <c r="O19" s="1168"/>
      <c r="P19" s="1168"/>
      <c r="Q19" s="1168"/>
      <c r="R19" s="1195"/>
      <c r="S19" s="1167"/>
      <c r="T19" s="1168"/>
      <c r="U19" s="1168"/>
      <c r="V19" s="1168"/>
      <c r="W19" s="1168"/>
      <c r="X19" s="1168"/>
      <c r="Y19" s="1184"/>
      <c r="Z19" s="1185"/>
      <c r="AA19" s="1185"/>
      <c r="AB19" s="1185"/>
      <c r="AC19" s="1185"/>
      <c r="AD19" s="1186"/>
      <c r="AE19" s="1187"/>
      <c r="AF19" s="1187"/>
      <c r="AG19" s="1187"/>
      <c r="AH19" s="1187"/>
      <c r="AI19" s="1187"/>
      <c r="AJ19" s="1187"/>
      <c r="AK19" s="173"/>
      <c r="AP19" s="164"/>
      <c r="AQ19" s="164"/>
      <c r="AR19" s="164"/>
    </row>
    <row r="20" spans="1:44" ht="18.75" customHeight="1" x14ac:dyDescent="0.25">
      <c r="A20" s="283"/>
      <c r="B20" s="1162" t="s">
        <v>198</v>
      </c>
      <c r="C20" s="1163"/>
      <c r="D20" s="1164"/>
      <c r="E20" s="174"/>
      <c r="F20" s="166"/>
      <c r="G20" s="196"/>
      <c r="H20" s="170"/>
      <c r="I20" s="290"/>
      <c r="J20" s="174"/>
      <c r="K20" s="174"/>
      <c r="L20" s="201"/>
      <c r="M20" s="1188">
        <f>AY7</f>
        <v>5.2263452799999994</v>
      </c>
      <c r="N20" s="1189"/>
      <c r="O20" s="1189"/>
      <c r="P20" s="1189"/>
      <c r="Q20" s="1189"/>
      <c r="R20" s="1190"/>
      <c r="S20" s="1191">
        <f>C26/1000</f>
        <v>0</v>
      </c>
      <c r="T20" s="1192"/>
      <c r="U20" s="1192"/>
      <c r="V20" s="1192"/>
      <c r="W20" s="1192"/>
      <c r="X20" s="1192"/>
      <c r="Y20" s="1188">
        <f>C27</f>
        <v>0</v>
      </c>
      <c r="Z20" s="1189"/>
      <c r="AA20" s="1189"/>
      <c r="AB20" s="1189"/>
      <c r="AC20" s="1189"/>
      <c r="AD20" s="1190"/>
      <c r="AE20" s="1193">
        <f>M20+S20+Y20</f>
        <v>5.2263452799999994</v>
      </c>
      <c r="AF20" s="1193"/>
      <c r="AG20" s="1193"/>
      <c r="AH20" s="1193"/>
      <c r="AI20" s="1193"/>
      <c r="AJ20" s="1193"/>
      <c r="AK20" s="173"/>
      <c r="AP20" s="164"/>
      <c r="AQ20" s="164"/>
      <c r="AR20" s="164"/>
    </row>
    <row r="21" spans="1:44" ht="18.75" customHeight="1" x14ac:dyDescent="0.25">
      <c r="A21" s="283"/>
      <c r="B21" s="204"/>
      <c r="C21" s="203" t="s">
        <v>197</v>
      </c>
      <c r="D21" s="202" t="s">
        <v>196</v>
      </c>
      <c r="E21" s="174"/>
      <c r="F21" s="166"/>
      <c r="G21" s="196"/>
      <c r="H21" s="170"/>
      <c r="I21" s="290"/>
      <c r="J21" s="174"/>
      <c r="K21" s="174"/>
      <c r="L21" s="201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199"/>
      <c r="AF21" s="199"/>
      <c r="AG21" s="199"/>
      <c r="AH21" s="199"/>
      <c r="AI21" s="199"/>
      <c r="AJ21" s="199"/>
      <c r="AK21" s="173"/>
      <c r="AP21" s="164"/>
      <c r="AQ21" s="164"/>
      <c r="AR21" s="164"/>
    </row>
    <row r="22" spans="1:44" ht="18.75" customHeight="1" x14ac:dyDescent="0.25">
      <c r="A22" s="283"/>
      <c r="B22" s="198" t="s">
        <v>125</v>
      </c>
      <c r="C22" s="197" t="s">
        <v>195</v>
      </c>
      <c r="D22" s="197" t="s">
        <v>194</v>
      </c>
      <c r="E22" s="174"/>
      <c r="F22" s="166"/>
      <c r="G22" s="196"/>
      <c r="H22" s="170"/>
      <c r="I22" s="290"/>
      <c r="J22" s="174"/>
      <c r="K22" s="174"/>
      <c r="L22" s="1159"/>
      <c r="M22" s="1159"/>
      <c r="N22" s="1159"/>
      <c r="O22" s="1159"/>
      <c r="P22" s="1159"/>
      <c r="Q22" s="1159"/>
      <c r="R22" s="1159"/>
      <c r="S22" s="1159"/>
      <c r="T22" s="1159"/>
      <c r="U22" s="1159"/>
      <c r="V22" s="1159"/>
      <c r="W22" s="1159"/>
      <c r="X22" s="1159"/>
      <c r="Y22" s="1159"/>
      <c r="Z22" s="1159"/>
      <c r="AA22" s="1159"/>
      <c r="AB22" s="1159"/>
      <c r="AC22" s="1159"/>
      <c r="AD22" s="1159"/>
      <c r="AE22" s="1159"/>
      <c r="AF22" s="1159"/>
      <c r="AG22" s="1159"/>
      <c r="AH22" s="1159"/>
      <c r="AI22" s="1159"/>
      <c r="AJ22" s="1159"/>
      <c r="AK22" s="173"/>
      <c r="AP22" s="164"/>
      <c r="AQ22" s="164"/>
      <c r="AR22" s="164"/>
    </row>
    <row r="23" spans="1:44" ht="18.75" x14ac:dyDescent="0.25">
      <c r="A23" s="283"/>
      <c r="B23" s="194" t="s">
        <v>51</v>
      </c>
      <c r="C23" s="1149">
        <v>0</v>
      </c>
      <c r="D23" s="1149"/>
      <c r="E23" s="174"/>
      <c r="F23" s="166"/>
      <c r="G23" s="196"/>
      <c r="H23" s="195"/>
      <c r="I23" s="290"/>
      <c r="J23" s="174"/>
      <c r="K23" s="174"/>
      <c r="L23" s="1159"/>
      <c r="M23" s="1159"/>
      <c r="N23" s="1159"/>
      <c r="O23" s="1159"/>
      <c r="P23" s="1159"/>
      <c r="Q23" s="1159"/>
      <c r="R23" s="1159"/>
      <c r="S23" s="1159"/>
      <c r="T23" s="1159"/>
      <c r="U23" s="1159"/>
      <c r="V23" s="1159"/>
      <c r="W23" s="1159"/>
      <c r="X23" s="1159"/>
      <c r="Y23" s="1159"/>
      <c r="Z23" s="1159"/>
      <c r="AA23" s="1159"/>
      <c r="AB23" s="1159"/>
      <c r="AC23" s="1159"/>
      <c r="AD23" s="1159"/>
      <c r="AE23" s="1159"/>
      <c r="AF23" s="1159"/>
      <c r="AG23" s="1159"/>
      <c r="AH23" s="1159"/>
      <c r="AI23" s="1159"/>
      <c r="AJ23" s="1159"/>
      <c r="AK23" s="173"/>
      <c r="AP23" s="164"/>
      <c r="AQ23" s="164"/>
      <c r="AR23" s="164"/>
    </row>
    <row r="24" spans="1:44" ht="18.75" x14ac:dyDescent="0.25">
      <c r="A24" s="283"/>
      <c r="B24" s="194" t="s">
        <v>193</v>
      </c>
      <c r="C24" s="1149">
        <v>0</v>
      </c>
      <c r="D24" s="1149"/>
      <c r="E24" s="174"/>
      <c r="F24" s="193"/>
      <c r="G24" s="193"/>
      <c r="H24" s="193"/>
      <c r="I24" s="291"/>
      <c r="J24" s="291"/>
      <c r="K24" s="1154" t="s">
        <v>192</v>
      </c>
      <c r="L24" s="1155"/>
      <c r="M24" s="1160" t="s">
        <v>191</v>
      </c>
      <c r="N24" s="1160"/>
      <c r="O24" s="1160"/>
      <c r="P24" s="1160"/>
      <c r="Q24" s="1160" t="s">
        <v>190</v>
      </c>
      <c r="R24" s="1160"/>
      <c r="S24" s="1160"/>
      <c r="T24" s="1160"/>
      <c r="U24" s="1160" t="s">
        <v>189</v>
      </c>
      <c r="V24" s="1160"/>
      <c r="W24" s="1160"/>
      <c r="X24" s="1160"/>
      <c r="Y24" s="1160" t="s">
        <v>188</v>
      </c>
      <c r="Z24" s="1160"/>
      <c r="AA24" s="1160"/>
      <c r="AB24" s="1160"/>
      <c r="AC24" s="1160" t="s">
        <v>187</v>
      </c>
      <c r="AD24" s="1160"/>
      <c r="AE24" s="1160"/>
      <c r="AF24" s="1160"/>
      <c r="AG24" s="1160" t="s">
        <v>186</v>
      </c>
      <c r="AH24" s="1160"/>
      <c r="AI24" s="1160"/>
      <c r="AJ24" s="1160"/>
      <c r="AK24" s="173"/>
      <c r="AP24" s="164"/>
      <c r="AQ24" s="164"/>
      <c r="AR24" s="164"/>
    </row>
    <row r="25" spans="1:44" ht="18.75" customHeight="1" x14ac:dyDescent="0.25">
      <c r="A25" s="283"/>
      <c r="B25" s="1156" t="s">
        <v>185</v>
      </c>
      <c r="C25" s="1156"/>
      <c r="D25" s="1157"/>
      <c r="E25" s="1150"/>
      <c r="F25" s="1150"/>
      <c r="G25" s="1150"/>
      <c r="H25" s="1150"/>
      <c r="I25" s="174"/>
      <c r="J25" s="174"/>
      <c r="K25" s="1152" t="s">
        <v>184</v>
      </c>
      <c r="L25" s="181" t="s">
        <v>183</v>
      </c>
      <c r="M25" s="192"/>
      <c r="N25" s="190"/>
      <c r="O25" s="191"/>
      <c r="P25" s="191"/>
      <c r="Q25" s="191"/>
      <c r="R25" s="191"/>
      <c r="S25" s="190"/>
      <c r="T25" s="189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7"/>
      <c r="AF25" s="187"/>
      <c r="AG25" s="187"/>
      <c r="AH25" s="187"/>
      <c r="AI25" s="187"/>
      <c r="AJ25" s="186"/>
      <c r="AK25" s="173"/>
      <c r="AP25" s="164"/>
      <c r="AQ25" s="164"/>
      <c r="AR25" s="164"/>
    </row>
    <row r="26" spans="1:44" ht="18.75" customHeight="1" x14ac:dyDescent="0.25">
      <c r="A26" s="283"/>
      <c r="B26" s="185" t="s">
        <v>182</v>
      </c>
      <c r="C26" s="1158">
        <v>0</v>
      </c>
      <c r="D26" s="1157"/>
      <c r="E26" s="1170" t="s">
        <v>181</v>
      </c>
      <c r="F26" s="1171"/>
      <c r="G26" s="1171"/>
      <c r="H26" s="1171"/>
      <c r="I26" s="174"/>
      <c r="J26" s="174"/>
      <c r="K26" s="1153"/>
      <c r="L26" s="181" t="s">
        <v>180</v>
      </c>
      <c r="M26" s="184"/>
      <c r="N26" s="183"/>
      <c r="O26" s="177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5"/>
      <c r="AC26" s="183"/>
      <c r="AD26" s="183"/>
      <c r="AE26" s="183"/>
      <c r="AF26" s="183"/>
      <c r="AG26" s="183"/>
      <c r="AH26" s="183"/>
      <c r="AI26" s="183"/>
      <c r="AJ26" s="182"/>
      <c r="AK26" s="173"/>
      <c r="AP26" s="164"/>
      <c r="AQ26" s="164"/>
      <c r="AR26" s="164"/>
    </row>
    <row r="27" spans="1:44" ht="18.75" customHeight="1" x14ac:dyDescent="0.25">
      <c r="A27" s="283"/>
      <c r="B27" s="1174" t="s">
        <v>179</v>
      </c>
      <c r="C27" s="1158">
        <v>0</v>
      </c>
      <c r="D27" s="1157"/>
      <c r="E27" s="1172"/>
      <c r="F27" s="1173"/>
      <c r="G27" s="1173"/>
      <c r="H27" s="1173"/>
      <c r="I27" s="174"/>
      <c r="J27" s="174"/>
      <c r="K27" s="1153"/>
      <c r="L27" s="181" t="s">
        <v>178</v>
      </c>
      <c r="M27" s="180"/>
      <c r="N27" s="179"/>
      <c r="O27" s="179"/>
      <c r="P27" s="179"/>
      <c r="Q27" s="179"/>
      <c r="R27" s="179"/>
      <c r="S27" s="179"/>
      <c r="T27" s="179"/>
      <c r="U27" s="178"/>
      <c r="V27" s="178"/>
      <c r="W27" s="177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5"/>
      <c r="AK27" s="173"/>
      <c r="AP27" s="164"/>
      <c r="AQ27" s="164"/>
      <c r="AR27" s="164"/>
    </row>
    <row r="28" spans="1:44" ht="18.75" customHeight="1" x14ac:dyDescent="0.25">
      <c r="A28" s="283"/>
      <c r="B28" s="1175"/>
      <c r="C28" s="1158"/>
      <c r="D28" s="1157"/>
      <c r="E28" s="1172"/>
      <c r="F28" s="1173"/>
      <c r="G28" s="1173"/>
      <c r="H28" s="1173"/>
      <c r="I28" s="174"/>
      <c r="J28" s="174"/>
      <c r="K28" s="174"/>
      <c r="L28" s="1179" t="str">
        <f>IF(AND(C18&lt;350,AE20&gt;20),IF((M20+S20)&lt;20,"Уменьшите вес загрузки ящика","Слищком тяжелый ящик, уменьшите размер"),IF(AE20&gt;60,IF((M20+S20)&lt;60,"Уменьшите вес загрузки ящика","Слишком тяжелый ящик, уменьшите размер"),""))</f>
        <v/>
      </c>
      <c r="M28" s="1179"/>
      <c r="N28" s="1179"/>
      <c r="O28" s="1179"/>
      <c r="P28" s="1179"/>
      <c r="Q28" s="1179"/>
      <c r="R28" s="1179"/>
      <c r="S28" s="1179"/>
      <c r="T28" s="1179"/>
      <c r="U28" s="1179"/>
      <c r="V28" s="1179"/>
      <c r="W28" s="1179"/>
      <c r="X28" s="1179"/>
      <c r="Y28" s="1179"/>
      <c r="Z28" s="1179"/>
      <c r="AA28" s="1179"/>
      <c r="AB28" s="1179"/>
      <c r="AC28" s="1179"/>
      <c r="AD28" s="1179"/>
      <c r="AE28" s="1179"/>
      <c r="AF28" s="1179"/>
      <c r="AG28" s="1179"/>
      <c r="AH28" s="1179"/>
      <c r="AI28" s="1179"/>
      <c r="AJ28" s="1179"/>
      <c r="AK28" s="173"/>
      <c r="AP28" s="164"/>
      <c r="AQ28" s="164"/>
      <c r="AR28" s="164"/>
    </row>
    <row r="29" spans="1:44" ht="18.75" hidden="1" customHeight="1" x14ac:dyDescent="0.25">
      <c r="A29" s="283"/>
      <c r="B29" s="172"/>
      <c r="C29" s="171"/>
      <c r="D29" s="170"/>
      <c r="E29" s="1151"/>
      <c r="F29" s="1151"/>
      <c r="G29" s="1151"/>
      <c r="H29" s="1151"/>
      <c r="I29" s="166"/>
      <c r="J29" s="166"/>
      <c r="K29" s="174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80"/>
      <c r="AC29" s="1180"/>
      <c r="AD29" s="1180"/>
      <c r="AE29" s="1180"/>
      <c r="AF29" s="1180"/>
      <c r="AG29" s="1180"/>
      <c r="AH29" s="1180"/>
      <c r="AI29" s="1180"/>
      <c r="AJ29" s="1180"/>
      <c r="AK29" s="173"/>
      <c r="AP29" s="164"/>
      <c r="AQ29" s="164"/>
      <c r="AR29" s="164"/>
    </row>
    <row r="30" spans="1:44" ht="18.75" customHeight="1" x14ac:dyDescent="0.25">
      <c r="A30" s="284"/>
      <c r="B30" s="285"/>
      <c r="C30" s="286"/>
      <c r="D30" s="287"/>
      <c r="E30" s="1169"/>
      <c r="F30" s="1169"/>
      <c r="G30" s="1169"/>
      <c r="H30" s="1169"/>
      <c r="I30" s="288"/>
      <c r="J30" s="288"/>
      <c r="K30" s="169"/>
      <c r="L30" s="1178" t="s">
        <v>177</v>
      </c>
      <c r="M30" s="1178"/>
      <c r="N30" s="1178"/>
      <c r="O30" s="1178"/>
      <c r="P30" s="1178"/>
      <c r="Q30" s="1178"/>
      <c r="R30" s="1178"/>
      <c r="S30" s="1178"/>
      <c r="T30" s="1178"/>
      <c r="U30" s="1178"/>
      <c r="V30" s="1178"/>
      <c r="W30" s="1178"/>
      <c r="X30" s="1178"/>
      <c r="Y30" s="1178"/>
      <c r="Z30" s="1178"/>
      <c r="AA30" s="1178"/>
      <c r="AB30" s="1178"/>
      <c r="AC30" s="1178"/>
      <c r="AD30" s="1178"/>
      <c r="AE30" s="168">
        <f>FLOOR(1125/(C19-247),1)</f>
        <v>3</v>
      </c>
      <c r="AF30" s="1161" t="str">
        <f>IF(AE30&lt;2,"ящик",IF(AE30&lt;5,"ящика","ящиков"))</f>
        <v>ящика</v>
      </c>
      <c r="AG30" s="1161"/>
      <c r="AH30" s="1161"/>
      <c r="AI30" s="1161"/>
      <c r="AJ30" s="281"/>
      <c r="AK30" s="167"/>
      <c r="AP30" s="164"/>
      <c r="AQ30" s="164"/>
      <c r="AR30" s="164"/>
    </row>
    <row r="31" spans="1:44" ht="24" customHeight="1" thickBot="1" x14ac:dyDescent="0.4">
      <c r="A31" s="1146"/>
      <c r="B31" s="1147"/>
      <c r="C31" s="1147"/>
      <c r="D31" s="1147"/>
      <c r="E31" s="1148"/>
      <c r="F31" s="1148"/>
      <c r="G31" s="1148"/>
      <c r="H31" s="1148"/>
      <c r="I31" s="1148"/>
      <c r="J31" s="1148"/>
      <c r="K31" s="1148"/>
      <c r="L31" s="165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5"/>
      <c r="AP31" s="164"/>
      <c r="AQ31" s="164"/>
      <c r="AR31" s="164"/>
    </row>
    <row r="32" spans="1:44" ht="23.25" customHeight="1" x14ac:dyDescent="0.25">
      <c r="A32" s="1129" t="s">
        <v>294</v>
      </c>
      <c r="B32" s="1130"/>
      <c r="C32" s="1130"/>
      <c r="D32" s="1130"/>
      <c r="E32" s="1130"/>
      <c r="F32" s="1130"/>
      <c r="G32" s="1130"/>
      <c r="H32" s="1130"/>
      <c r="I32" s="1130"/>
      <c r="J32" s="1130"/>
      <c r="K32" s="1130"/>
      <c r="L32" s="1130"/>
      <c r="M32" s="1130"/>
      <c r="N32" s="1130"/>
      <c r="O32" s="1130"/>
      <c r="P32" s="1130"/>
      <c r="Q32" s="1130"/>
      <c r="R32" s="1130"/>
      <c r="S32" s="1130"/>
      <c r="T32" s="1130"/>
      <c r="U32" s="1130"/>
      <c r="V32" s="1130"/>
      <c r="W32" s="1130"/>
      <c r="X32" s="1130"/>
      <c r="Y32" s="1130"/>
      <c r="Z32" s="1130"/>
      <c r="AA32" s="1130"/>
      <c r="AB32" s="1130"/>
      <c r="AC32" s="1130"/>
      <c r="AD32" s="1130"/>
      <c r="AE32" s="1130"/>
      <c r="AF32" s="1130"/>
      <c r="AG32" s="1130"/>
      <c r="AH32" s="1130"/>
      <c r="AI32" s="1130"/>
      <c r="AJ32" s="1130"/>
      <c r="AK32" s="1131"/>
      <c r="AP32" s="164"/>
      <c r="AQ32" s="164"/>
      <c r="AR32" s="164"/>
    </row>
    <row r="33" spans="1:37" ht="19.5" customHeight="1" thickBot="1" x14ac:dyDescent="0.3">
      <c r="A33" s="1132"/>
      <c r="B33" s="1133"/>
      <c r="C33" s="1133"/>
      <c r="D33" s="1133"/>
      <c r="E33" s="1133"/>
      <c r="F33" s="1133"/>
      <c r="G33" s="1133"/>
      <c r="H33" s="1133"/>
      <c r="I33" s="1133"/>
      <c r="J33" s="1133"/>
      <c r="K33" s="1133"/>
      <c r="L33" s="1133"/>
      <c r="M33" s="1133"/>
      <c r="N33" s="1133"/>
      <c r="O33" s="1133"/>
      <c r="P33" s="1133"/>
      <c r="Q33" s="1133"/>
      <c r="R33" s="1133"/>
      <c r="S33" s="1133"/>
      <c r="T33" s="1133"/>
      <c r="U33" s="1133"/>
      <c r="V33" s="1133"/>
      <c r="W33" s="1133"/>
      <c r="X33" s="1133"/>
      <c r="Y33" s="1133"/>
      <c r="Z33" s="1133"/>
      <c r="AA33" s="1133"/>
      <c r="AB33" s="1133"/>
      <c r="AC33" s="1133"/>
      <c r="AD33" s="1133"/>
      <c r="AE33" s="1133"/>
      <c r="AF33" s="1133"/>
      <c r="AG33" s="1133"/>
      <c r="AH33" s="1133"/>
      <c r="AI33" s="1133"/>
      <c r="AJ33" s="1133"/>
      <c r="AK33" s="1134"/>
    </row>
    <row r="34" spans="1:37" ht="18.75" customHeight="1" x14ac:dyDescent="0.25">
      <c r="E34" s="1140"/>
      <c r="F34" s="1141"/>
      <c r="G34" s="1141"/>
      <c r="H34" s="1141"/>
      <c r="I34" s="1141"/>
      <c r="J34" s="1141"/>
    </row>
    <row r="35" spans="1:37" ht="23.25" customHeight="1" x14ac:dyDescent="0.25">
      <c r="E35" s="1141"/>
      <c r="F35" s="1141"/>
      <c r="G35" s="1141"/>
      <c r="H35" s="1141"/>
      <c r="I35" s="1141"/>
      <c r="J35" s="1141"/>
    </row>
    <row r="36" spans="1:37" x14ac:dyDescent="0.25">
      <c r="E36" s="1142"/>
      <c r="F36" s="1143"/>
      <c r="G36" s="1143"/>
      <c r="H36" s="1143"/>
      <c r="I36" s="1143"/>
      <c r="J36" s="1143"/>
    </row>
    <row r="37" spans="1:37" x14ac:dyDescent="0.25">
      <c r="E37" s="1144"/>
      <c r="F37" s="1144"/>
      <c r="G37" s="1144"/>
      <c r="H37" s="1144"/>
      <c r="I37" s="1144"/>
      <c r="J37" s="1144"/>
    </row>
    <row r="38" spans="1:37" ht="15" customHeight="1" x14ac:dyDescent="0.25">
      <c r="E38" s="1142"/>
      <c r="F38" s="1142"/>
      <c r="G38" s="1142"/>
      <c r="H38" s="1142"/>
      <c r="I38" s="1142"/>
      <c r="J38" s="1142"/>
    </row>
    <row r="39" spans="1:37" ht="21.75" customHeight="1" x14ac:dyDescent="0.25">
      <c r="E39" s="1142"/>
      <c r="F39" s="1142"/>
      <c r="G39" s="1142"/>
      <c r="H39" s="1142"/>
      <c r="I39" s="1142"/>
      <c r="J39" s="1142"/>
    </row>
    <row r="40" spans="1:37" ht="15" customHeight="1" x14ac:dyDescent="0.25">
      <c r="E40" s="1142"/>
      <c r="F40" s="1142"/>
      <c r="G40" s="1142"/>
      <c r="H40" s="1142"/>
      <c r="I40" s="1142"/>
      <c r="J40" s="1142"/>
    </row>
    <row r="41" spans="1:37" ht="15" customHeight="1" x14ac:dyDescent="0.25">
      <c r="E41" s="1145"/>
      <c r="F41" s="1145"/>
      <c r="G41" s="1145"/>
      <c r="H41" s="1145"/>
      <c r="I41" s="1145"/>
      <c r="J41" s="1145"/>
    </row>
    <row r="42" spans="1:37" ht="15" customHeight="1" x14ac:dyDescent="0.25">
      <c r="E42" s="1145"/>
      <c r="F42" s="1145"/>
      <c r="G42" s="1145"/>
      <c r="H42" s="1145"/>
      <c r="I42" s="1145"/>
      <c r="J42" s="1145"/>
    </row>
    <row r="44" spans="1:37" ht="15" customHeight="1" x14ac:dyDescent="0.25">
      <c r="E44" s="1135" t="s">
        <v>176</v>
      </c>
      <c r="F44" s="1136"/>
      <c r="G44" s="1136"/>
      <c r="H44" s="1136"/>
      <c r="I44" s="1136"/>
      <c r="J44" s="1136"/>
      <c r="K44" s="1024"/>
    </row>
    <row r="45" spans="1:37" ht="24" customHeight="1" x14ac:dyDescent="0.25">
      <c r="E45" s="1137"/>
      <c r="F45" s="1137"/>
      <c r="G45" s="1137"/>
      <c r="H45" s="1137"/>
      <c r="I45" s="1137"/>
      <c r="J45" s="1137"/>
      <c r="K45" s="1024"/>
    </row>
    <row r="46" spans="1:37" ht="15" customHeight="1" x14ac:dyDescent="0.25">
      <c r="E46" s="1138" t="s">
        <v>175</v>
      </c>
      <c r="F46" s="1139"/>
      <c r="G46" s="1139"/>
      <c r="H46" s="1139"/>
      <c r="I46" s="1139"/>
      <c r="J46" s="1139"/>
      <c r="K46" s="1025"/>
    </row>
    <row r="47" spans="1:37" ht="23.25" customHeight="1" x14ac:dyDescent="0.25">
      <c r="E47" s="1139"/>
      <c r="F47" s="1139"/>
      <c r="G47" s="1139"/>
      <c r="H47" s="1139"/>
      <c r="I47" s="1139"/>
      <c r="J47" s="1139"/>
      <c r="K47" s="1025"/>
    </row>
    <row r="48" spans="1:37" x14ac:dyDescent="0.25">
      <c r="E48" s="1135" t="s">
        <v>174</v>
      </c>
      <c r="F48" s="1136"/>
      <c r="G48" s="1136"/>
      <c r="H48" s="1136"/>
      <c r="I48" s="1136"/>
      <c r="J48" s="1136"/>
      <c r="K48" s="1025"/>
    </row>
    <row r="49" spans="5:11" ht="21" customHeight="1" x14ac:dyDescent="0.25">
      <c r="E49" s="1137"/>
      <c r="F49" s="1137"/>
      <c r="G49" s="1137"/>
      <c r="H49" s="1137"/>
      <c r="I49" s="1137"/>
      <c r="J49" s="1137"/>
      <c r="K49" s="1025"/>
    </row>
    <row r="50" spans="5:11" x14ac:dyDescent="0.25">
      <c r="E50" s="1135" t="s">
        <v>173</v>
      </c>
      <c r="F50" s="1136"/>
      <c r="G50" s="1136"/>
      <c r="H50" s="1136"/>
      <c r="I50" s="1136"/>
      <c r="J50" s="1136"/>
      <c r="K50" s="1025"/>
    </row>
    <row r="51" spans="5:11" x14ac:dyDescent="0.25">
      <c r="E51" s="1137"/>
      <c r="F51" s="1137"/>
      <c r="G51" s="1137"/>
      <c r="H51" s="1137"/>
      <c r="I51" s="1137"/>
      <c r="J51" s="1137"/>
      <c r="K51" s="1025"/>
    </row>
    <row r="52" spans="5:11" ht="18.75" customHeight="1" x14ac:dyDescent="0.25">
      <c r="E52" s="1137"/>
      <c r="F52" s="1137"/>
      <c r="G52" s="1137"/>
      <c r="H52" s="1137"/>
      <c r="I52" s="1137"/>
      <c r="J52" s="1137"/>
      <c r="K52" s="1025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dataConsolidate/>
  <customSheetViews>
    <customSheetView guid="{A25B6F15-9B48-4230-9C30-183637D1319E}" showGridLines="0" showRowCol="0" hiddenRows="1" hiddenColumns="1" topLeftCell="A34">
      <selection activeCell="AN19" sqref="AN19"/>
      <pageMargins left="0.70866141732283461" right="0.70866141732283461" top="0.74803149606299213" bottom="0.74803149606299213" header="0.31496062992125984" footer="0.31496062992125984"/>
      <pageSetup paperSize="9" scale="52" orientation="landscape" r:id="rId1"/>
    </customSheetView>
  </customSheetViews>
  <mergeCells count="50">
    <mergeCell ref="A1:AK1"/>
    <mergeCell ref="AU1:AY1"/>
    <mergeCell ref="A12:AK12"/>
    <mergeCell ref="B15:D16"/>
    <mergeCell ref="M15:AJ17"/>
    <mergeCell ref="C17:D17"/>
    <mergeCell ref="M20:R20"/>
    <mergeCell ref="S20:X20"/>
    <mergeCell ref="Y20:AD20"/>
    <mergeCell ref="AE20:AJ20"/>
    <mergeCell ref="M18:R19"/>
    <mergeCell ref="B20:D20"/>
    <mergeCell ref="S18:X19"/>
    <mergeCell ref="E30:H30"/>
    <mergeCell ref="C27:D28"/>
    <mergeCell ref="E26:H28"/>
    <mergeCell ref="B27:B28"/>
    <mergeCell ref="C18:D18"/>
    <mergeCell ref="C19:D19"/>
    <mergeCell ref="Q24:T24"/>
    <mergeCell ref="U24:X24"/>
    <mergeCell ref="L30:AD30"/>
    <mergeCell ref="L28:AJ29"/>
    <mergeCell ref="AC24:AF24"/>
    <mergeCell ref="M24:P24"/>
    <mergeCell ref="Y18:AD19"/>
    <mergeCell ref="AE18:AJ19"/>
    <mergeCell ref="A31:K31"/>
    <mergeCell ref="C23:D23"/>
    <mergeCell ref="C24:D24"/>
    <mergeCell ref="E25:H25"/>
    <mergeCell ref="E29:H29"/>
    <mergeCell ref="K25:K27"/>
    <mergeCell ref="K24:L24"/>
    <mergeCell ref="B25:D25"/>
    <mergeCell ref="C26:D26"/>
    <mergeCell ref="L22:AJ23"/>
    <mergeCell ref="Y24:AB24"/>
    <mergeCell ref="AF30:AI30"/>
    <mergeCell ref="AG24:AJ24"/>
    <mergeCell ref="A32:AK33"/>
    <mergeCell ref="E44:K45"/>
    <mergeCell ref="E46:K47"/>
    <mergeCell ref="E48:K49"/>
    <mergeCell ref="E50:K52"/>
    <mergeCell ref="E34:J35"/>
    <mergeCell ref="E36:J37"/>
    <mergeCell ref="E38:J40"/>
    <mergeCell ref="E42:J42"/>
    <mergeCell ref="E41:J41"/>
  </mergeCells>
  <conditionalFormatting sqref="H23">
    <cfRule type="expression" dxfId="84" priority="25">
      <formula>$C$22=$AT$3</formula>
    </cfRule>
  </conditionalFormatting>
  <conditionalFormatting sqref="L25">
    <cfRule type="expression" dxfId="83" priority="26">
      <formula>AND(#REF!&gt;349,$AE$20&lt;20.01)</formula>
    </cfRule>
  </conditionalFormatting>
  <conditionalFormatting sqref="L26">
    <cfRule type="expression" dxfId="82" priority="27">
      <formula>AND(#REF!&gt;349,$AE$20&gt;4.99,$AE$20&lt;40.01)</formula>
    </cfRule>
  </conditionalFormatting>
  <conditionalFormatting sqref="L27">
    <cfRule type="expression" dxfId="81" priority="28">
      <formula>AND(#REF!&gt;349,$AE$20&gt;24.99,$AE$20&lt;60)</formula>
    </cfRule>
  </conditionalFormatting>
  <conditionalFormatting sqref="M25:M27">
    <cfRule type="expression" dxfId="80" priority="24">
      <formula>$AZ$2=1</formula>
    </cfRule>
  </conditionalFormatting>
  <conditionalFormatting sqref="N25:N27">
    <cfRule type="expression" dxfId="79" priority="23">
      <formula>$AZ$2=2</formula>
    </cfRule>
  </conditionalFormatting>
  <conditionalFormatting sqref="O25:O27">
    <cfRule type="expression" dxfId="78" priority="22">
      <formula>$AZ$2=3</formula>
    </cfRule>
  </conditionalFormatting>
  <conditionalFormatting sqref="P25:P27">
    <cfRule type="expression" dxfId="77" priority="21">
      <formula>$AZ$2=4</formula>
    </cfRule>
  </conditionalFormatting>
  <conditionalFormatting sqref="Q25:Q27">
    <cfRule type="expression" dxfId="76" priority="20">
      <formula>$AZ$2=5</formula>
    </cfRule>
  </conditionalFormatting>
  <conditionalFormatting sqref="R25:R27">
    <cfRule type="expression" dxfId="75" priority="19">
      <formula>$AZ$2=6</formula>
    </cfRule>
  </conditionalFormatting>
  <conditionalFormatting sqref="S25:S27">
    <cfRule type="expression" dxfId="74" priority="18">
      <formula>$AZ$2=7</formula>
    </cfRule>
  </conditionalFormatting>
  <conditionalFormatting sqref="T25:T27">
    <cfRule type="expression" dxfId="73" priority="17">
      <formula>$AZ$2=8</formula>
    </cfRule>
  </conditionalFormatting>
  <conditionalFormatting sqref="U25:U27">
    <cfRule type="expression" dxfId="72" priority="16">
      <formula>$AZ$2=9</formula>
    </cfRule>
  </conditionalFormatting>
  <conditionalFormatting sqref="V25:V27">
    <cfRule type="expression" dxfId="71" priority="15">
      <formula>$AZ$2=10</formula>
    </cfRule>
  </conditionalFormatting>
  <conditionalFormatting sqref="W25:W27">
    <cfRule type="expression" dxfId="70" priority="14">
      <formula>$AZ$2=11</formula>
    </cfRule>
  </conditionalFormatting>
  <conditionalFormatting sqref="X25:X27">
    <cfRule type="expression" dxfId="69" priority="13">
      <formula>$AZ$2=12</formula>
    </cfRule>
  </conditionalFormatting>
  <conditionalFormatting sqref="Y25:Y27">
    <cfRule type="expression" dxfId="68" priority="12">
      <formula>$AZ$2=13</formula>
    </cfRule>
  </conditionalFormatting>
  <conditionalFormatting sqref="Z25:Z27">
    <cfRule type="expression" dxfId="67" priority="11">
      <formula>$AZ$2=14</formula>
    </cfRule>
  </conditionalFormatting>
  <conditionalFormatting sqref="AA25:AA27">
    <cfRule type="expression" dxfId="66" priority="10">
      <formula>$AZ$2=15</formula>
    </cfRule>
  </conditionalFormatting>
  <conditionalFormatting sqref="AB25:AB27">
    <cfRule type="expression" dxfId="65" priority="9">
      <formula>$AZ$2=16</formula>
    </cfRule>
  </conditionalFormatting>
  <conditionalFormatting sqref="AC25:AC27">
    <cfRule type="expression" dxfId="64" priority="8">
      <formula>$AZ$2=17</formula>
    </cfRule>
  </conditionalFormatting>
  <conditionalFormatting sqref="AD25:AD27">
    <cfRule type="expression" dxfId="63" priority="7">
      <formula>$AZ$2=18</formula>
    </cfRule>
  </conditionalFormatting>
  <conditionalFormatting sqref="AE25:AE27">
    <cfRule type="expression" dxfId="62" priority="6">
      <formula>$AZ$2=19</formula>
    </cfRule>
  </conditionalFormatting>
  <conditionalFormatting sqref="AF25:AF27">
    <cfRule type="expression" dxfId="61" priority="5">
      <formula>$AZ$2=20</formula>
    </cfRule>
  </conditionalFormatting>
  <conditionalFormatting sqref="AG25:AG27">
    <cfRule type="expression" dxfId="60" priority="4">
      <formula>$AZ$2=21</formula>
    </cfRule>
  </conditionalFormatting>
  <conditionalFormatting sqref="AH25:AH27">
    <cfRule type="expression" dxfId="59" priority="3">
      <formula>$AZ$2=22</formula>
    </cfRule>
  </conditionalFormatting>
  <conditionalFormatting sqref="AI25:AI27">
    <cfRule type="expression" dxfId="58" priority="2">
      <formula>$AZ$2=23</formula>
    </cfRule>
  </conditionalFormatting>
  <conditionalFormatting sqref="AJ25:AJ27">
    <cfRule type="expression" dxfId="57" priority="1">
      <formula>$AZ$2=24</formula>
    </cfRule>
  </conditionalFormatting>
  <dataValidations count="5">
    <dataValidation type="list" allowBlank="1" showInputMessage="1" showErrorMessage="1" sqref="D22" xr:uid="{00000000-0002-0000-0C00-000000000000}">
      <formula1>$AS$3:$AS$5</formula1>
    </dataValidation>
    <dataValidation type="list" allowBlank="1" showInputMessage="1" showErrorMessage="1" sqref="C22" xr:uid="{00000000-0002-0000-0C00-000001000000}">
      <formula1>$AQ$2:$AQ$6</formula1>
    </dataValidation>
    <dataValidation type="list" allowBlank="1" showInputMessage="1" showErrorMessage="1" sqref="C18:D18" xr:uid="{00000000-0002-0000-0C00-000002000000}">
      <formula1>$AP$6:$AP$7</formula1>
    </dataValidation>
    <dataValidation type="list" allowBlank="1" showInputMessage="1" showErrorMessage="1" sqref="AM9" xr:uid="{00000000-0002-0000-0C00-000003000000}">
      <formula1>$AM$2:$AM$6</formula1>
    </dataValidation>
    <dataValidation type="list" allowBlank="1" showInputMessage="1" showErrorMessage="1" sqref="C17:D17" xr:uid="{00000000-0002-0000-0C00-000004000000}">
      <formula1>$AO$2:$AO$8</formula1>
    </dataValidation>
  </dataValidations>
  <hyperlinks>
    <hyperlink ref="AL1" location="Содержание!A1" display="← СОДЕРЖАНИЕ:" xr:uid="{00000000-0004-0000-0C00-000000000000}"/>
  </hyperlinks>
  <pageMargins left="0.70866141732283461" right="0.70866141732283461" top="0.74803149606299213" bottom="0.74803149606299213" header="0.31496062992125984" footer="0.31496062992125984"/>
  <pageSetup paperSize="9" scale="52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7">
    <tabColor theme="0" tint="-0.499984740745262"/>
    <pageSetUpPr fitToPage="1"/>
  </sheetPr>
  <dimension ref="A1:AZ46"/>
  <sheetViews>
    <sheetView showGridLines="0" zoomScale="85" zoomScaleNormal="85" zoomScalePageLayoutView="55" workbookViewId="0">
      <selection activeCell="AO20" sqref="AO20"/>
    </sheetView>
  </sheetViews>
  <sheetFormatPr defaultColWidth="9.140625" defaultRowHeight="15" x14ac:dyDescent="0.25"/>
  <cols>
    <col min="1" max="1" width="3.85546875" style="163" customWidth="1"/>
    <col min="2" max="2" width="43.28515625" style="163" customWidth="1"/>
    <col min="3" max="3" width="14.28515625" style="163" customWidth="1"/>
    <col min="4" max="4" width="11.7109375" style="163" customWidth="1"/>
    <col min="5" max="5" width="9.42578125" style="163" customWidth="1"/>
    <col min="6" max="6" width="2" style="163" customWidth="1"/>
    <col min="7" max="7" width="2.28515625" style="163" customWidth="1"/>
    <col min="8" max="8" width="28.5703125" style="163" customWidth="1"/>
    <col min="9" max="10" width="2.42578125" style="163" customWidth="1"/>
    <col min="11" max="12" width="5.28515625" style="163" customWidth="1"/>
    <col min="13" max="13" width="2" style="163" customWidth="1"/>
    <col min="14" max="14" width="2.28515625" style="163" customWidth="1"/>
    <col min="15" max="15" width="2" style="163" customWidth="1"/>
    <col min="16" max="16" width="2.85546875" style="163" customWidth="1"/>
    <col min="17" max="17" width="2.7109375" style="163" customWidth="1"/>
    <col min="18" max="18" width="2.85546875" style="163" customWidth="1"/>
    <col min="19" max="19" width="2.28515625" style="163" customWidth="1"/>
    <col min="20" max="20" width="2.7109375" style="163" customWidth="1"/>
    <col min="21" max="21" width="2.140625" style="163" customWidth="1"/>
    <col min="22" max="22" width="2.7109375" style="163" customWidth="1"/>
    <col min="23" max="23" width="1.7109375" style="163" customWidth="1"/>
    <col min="24" max="24" width="2.42578125" style="163" customWidth="1"/>
    <col min="25" max="25" width="2" style="163" customWidth="1"/>
    <col min="26" max="26" width="1.7109375" style="163" customWidth="1"/>
    <col min="27" max="27" width="2.42578125" style="163" customWidth="1"/>
    <col min="28" max="28" width="2.7109375" style="163" customWidth="1"/>
    <col min="29" max="29" width="2.42578125" style="163" customWidth="1"/>
    <col min="30" max="30" width="2.5703125" style="163" customWidth="1"/>
    <col min="31" max="31" width="3.42578125" style="163" customWidth="1"/>
    <col min="32" max="32" width="2.140625" style="163" customWidth="1"/>
    <col min="33" max="33" width="2" style="163" customWidth="1"/>
    <col min="34" max="34" width="2.5703125" style="163" customWidth="1"/>
    <col min="35" max="35" width="2.85546875" style="163" customWidth="1"/>
    <col min="36" max="36" width="2" style="163" customWidth="1"/>
    <col min="37" max="37" width="2.85546875" style="163" customWidth="1"/>
    <col min="38" max="38" width="6" style="163" customWidth="1"/>
    <col min="39" max="39" width="20.7109375" style="163" customWidth="1"/>
    <col min="40" max="41" width="9.140625" style="163" customWidth="1"/>
    <col min="42" max="42" width="9.140625" style="163" hidden="1" customWidth="1"/>
    <col min="43" max="43" width="19.42578125" style="163" hidden="1" customWidth="1"/>
    <col min="44" max="44" width="10.42578125" style="163" hidden="1" customWidth="1"/>
    <col min="45" max="45" width="20.28515625" style="163" hidden="1" customWidth="1"/>
    <col min="46" max="46" width="24" style="163" hidden="1" customWidth="1"/>
    <col min="47" max="47" width="11.42578125" style="163" hidden="1" customWidth="1"/>
    <col min="48" max="48" width="11.28515625" style="163" hidden="1" customWidth="1"/>
    <col min="49" max="49" width="10.28515625" style="163" hidden="1" customWidth="1"/>
    <col min="50" max="50" width="9" style="163" hidden="1" customWidth="1"/>
    <col min="51" max="52" width="9.140625" style="163" hidden="1" customWidth="1"/>
    <col min="53" max="54" width="9.140625" style="163" customWidth="1"/>
    <col min="55" max="16384" width="9.140625" style="163"/>
  </cols>
  <sheetData>
    <row r="1" spans="1:52" ht="45.75" customHeight="1" thickBot="1" x14ac:dyDescent="0.3">
      <c r="A1" s="1211"/>
      <c r="B1" s="1212"/>
      <c r="C1" s="1212"/>
      <c r="D1" s="1212"/>
      <c r="E1" s="1212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3"/>
      <c r="U1" s="1213"/>
      <c r="V1" s="1213"/>
      <c r="W1" s="1213"/>
      <c r="X1" s="1213"/>
      <c r="Y1" s="1213"/>
      <c r="Z1" s="1213"/>
      <c r="AA1" s="1213"/>
      <c r="AB1" s="1213"/>
      <c r="AC1" s="1213"/>
      <c r="AD1" s="1213"/>
      <c r="AE1" s="1213"/>
      <c r="AF1" s="1213"/>
      <c r="AG1" s="1213"/>
      <c r="AH1" s="1213"/>
      <c r="AI1" s="1213"/>
      <c r="AJ1" s="1213"/>
      <c r="AK1" s="1213"/>
      <c r="AL1" s="292"/>
      <c r="AM1" s="338" t="s">
        <v>295</v>
      </c>
      <c r="AP1" s="216" t="s">
        <v>255</v>
      </c>
      <c r="AQ1" s="216" t="s">
        <v>197</v>
      </c>
      <c r="AR1" s="216" t="s">
        <v>254</v>
      </c>
      <c r="AS1" s="223" t="s">
        <v>253</v>
      </c>
      <c r="AT1" s="226" t="s">
        <v>252</v>
      </c>
      <c r="AU1" s="1200" t="s">
        <v>251</v>
      </c>
      <c r="AV1" s="1200"/>
      <c r="AW1" s="1200"/>
      <c r="AX1" s="1200"/>
      <c r="AY1" s="1200"/>
      <c r="AZ1" s="228" t="s">
        <v>250</v>
      </c>
    </row>
    <row r="2" spans="1:52" ht="15" customHeight="1" x14ac:dyDescent="0.25">
      <c r="A2" s="293"/>
      <c r="B2" s="274"/>
      <c r="C2" s="274"/>
      <c r="D2" s="274"/>
      <c r="E2" s="274"/>
      <c r="AL2" s="231"/>
      <c r="AN2" s="275"/>
      <c r="AP2" s="216">
        <v>270</v>
      </c>
      <c r="AQ2" s="216" t="s">
        <v>244</v>
      </c>
      <c r="AR2" s="216">
        <v>680</v>
      </c>
      <c r="AS2" s="223" t="s">
        <v>243</v>
      </c>
      <c r="AT2" s="226" t="s">
        <v>242</v>
      </c>
      <c r="AU2" s="223" t="s">
        <v>241</v>
      </c>
      <c r="AV2" s="223" t="s">
        <v>240</v>
      </c>
      <c r="AW2" s="223" t="s">
        <v>239</v>
      </c>
      <c r="AX2" s="223" t="s">
        <v>238</v>
      </c>
      <c r="AY2" s="223" t="s">
        <v>237</v>
      </c>
      <c r="AZ2" s="163">
        <f>IF(AE20&lt;0,0,IF(AE20&lt;2.51,1,IF(AE20&lt;5.01,2,IF(AE20&lt;7.51,3,IF(AE20&lt;10.01,4,IF(AE20&lt;12.51,5,IF(AE20&lt;15.01,6,IF(AE20&lt;17.51,7,IF(AE20&lt;20.01,8,IF(AE20&lt;22.51,9,IF(AE20&lt;25.01,10,IF(AE20&lt;27.51,11,IF(AE20&lt;30.01,12,IF(AE20&lt;32.51,13,IF(AE20&lt;35.01,14,IF(AE20&lt;37.51,15,IF(AE20&lt;40.01,16,IF(AE20&lt;42.51,17,IF(AE20&lt;45.01,18,IF(AE20&lt;47.51,19,IF(AE20&lt;50.01,20,IF(AE20&lt;52.51,21,IF(AE20&lt;55.01,22,IF(AE20&lt;57.51,23,IF(AE20&lt;60,24,25)))))))))))))))))))))))))</f>
        <v>21</v>
      </c>
    </row>
    <row r="3" spans="1:52" ht="15" customHeight="1" x14ac:dyDescent="0.25">
      <c r="A3" s="293"/>
      <c r="B3" s="274"/>
      <c r="C3" s="274"/>
      <c r="D3" s="274"/>
      <c r="E3" s="274"/>
      <c r="AL3" s="231"/>
      <c r="AP3" s="216">
        <v>300</v>
      </c>
      <c r="AQ3" s="216" t="s">
        <v>234</v>
      </c>
      <c r="AR3" s="216">
        <v>550</v>
      </c>
      <c r="AS3" s="223" t="s">
        <v>233</v>
      </c>
      <c r="AT3" s="226" t="s">
        <v>232</v>
      </c>
      <c r="AU3" s="223" t="s">
        <v>280</v>
      </c>
      <c r="AV3" s="223">
        <f>(C25-10)*C27/1000000</f>
        <v>9.8000000000000004E-2</v>
      </c>
      <c r="AW3" s="223">
        <f>IF(C18=AQ2,AR2,IF(C18=AQ3,AR3,IF(C18=AQ4,AR4,IF(C18=AQ5,AR5,IF(C18=AQ6,AR6,IF(C18=AQ7,AR7,0))))))</f>
        <v>680</v>
      </c>
      <c r="AX3" s="223">
        <f>IF(D18=AS2,10,IF(D18=AS3,16,IF(D18=AS4,18,IF(D18=AS5,19,IF(D18=AS6,4,0)))))</f>
        <v>16</v>
      </c>
      <c r="AY3" s="223">
        <f t="shared" ref="AY3:AY8" si="0">AV3*AW3*AX3/1000</f>
        <v>1.0662400000000001</v>
      </c>
    </row>
    <row r="4" spans="1:52" ht="15" customHeight="1" x14ac:dyDescent="0.25">
      <c r="A4" s="293"/>
      <c r="B4" s="274"/>
      <c r="C4" s="274"/>
      <c r="D4" s="274"/>
      <c r="E4" s="274"/>
      <c r="AL4" s="231"/>
      <c r="AP4" s="216">
        <v>350</v>
      </c>
      <c r="AQ4" s="216" t="s">
        <v>228</v>
      </c>
      <c r="AR4" s="216">
        <v>750</v>
      </c>
      <c r="AS4" s="223" t="s">
        <v>227</v>
      </c>
      <c r="AU4" s="223" t="s">
        <v>279</v>
      </c>
      <c r="AV4" s="223">
        <f>(C25-10)*C27/1000000</f>
        <v>9.8000000000000004E-2</v>
      </c>
      <c r="AW4" s="223">
        <f>IF(C18=AQ2,AR2,IF(C18=AQ3,AR3,IF(C18=AQ4,AR4,IF(C18=AQ5,AR5,IF(C18=AQ6,AR6,IF(C18=AQ7,AR7,0))))))</f>
        <v>680</v>
      </c>
      <c r="AX4" s="223">
        <f>IF(D18=AS2,10,IF(D18=AS3,16,IF(D18=AS4,18,IF(D18=AS5,19,IF(D18=AS6,4,0)))))</f>
        <v>16</v>
      </c>
      <c r="AY4" s="223">
        <f t="shared" si="0"/>
        <v>1.0662400000000001</v>
      </c>
    </row>
    <row r="5" spans="1:52" ht="15" customHeight="1" x14ac:dyDescent="0.25">
      <c r="A5" s="293"/>
      <c r="B5" s="274"/>
      <c r="C5" s="274"/>
      <c r="D5" s="274"/>
      <c r="E5" s="274"/>
      <c r="AL5" s="231"/>
      <c r="AP5" s="216">
        <v>400</v>
      </c>
      <c r="AQ5" s="216" t="s">
        <v>223</v>
      </c>
      <c r="AR5" s="216">
        <v>690</v>
      </c>
      <c r="AS5" s="223" t="s">
        <v>194</v>
      </c>
      <c r="AU5" s="223" t="s">
        <v>278</v>
      </c>
      <c r="AV5" s="223">
        <f>(C26-42)*C27/1000000</f>
        <v>0.1116</v>
      </c>
      <c r="AW5" s="223">
        <f>IF(C18=AQ2,AR2,IF(C18=AQ3,AR3,IF(C18=AQ4,AR4,IF(C18=AQ5,AR5,IF(C18=AQ6,AR6,IF(C18=AQ7,AR7,0))))))</f>
        <v>680</v>
      </c>
      <c r="AX5" s="223">
        <f>IF(D18=AS2,10,IF(D18=AS3,16,IF(D18=AS4,18,IF(D18=AS5,19,IF(D18=AS6,4,0)))))</f>
        <v>16</v>
      </c>
      <c r="AY5" s="223">
        <f t="shared" si="0"/>
        <v>1.2142080000000002</v>
      </c>
    </row>
    <row r="6" spans="1:52" ht="15" customHeight="1" x14ac:dyDescent="0.25">
      <c r="A6" s="293"/>
      <c r="B6" s="274"/>
      <c r="C6" s="274"/>
      <c r="D6" s="274"/>
      <c r="E6" s="274"/>
      <c r="AL6" s="231"/>
      <c r="AP6" s="216">
        <v>450</v>
      </c>
      <c r="AQ6" s="216" t="s">
        <v>195</v>
      </c>
      <c r="AR6" s="216">
        <v>760</v>
      </c>
      <c r="AS6" s="223" t="s">
        <v>219</v>
      </c>
      <c r="AU6" s="223" t="s">
        <v>277</v>
      </c>
      <c r="AV6" s="223">
        <f>IF(C22=AT2,(C26-42)*C27/1000000,0)</f>
        <v>0.1116</v>
      </c>
      <c r="AW6" s="223">
        <f>IF(C18=AQ2,AR2,IF(C18=AQ3,AR3,IF(C18=AQ4,AR4,IF(C18=AQ5,AR5,IF(C18=AQ6,AR6,IF(C18=AQ7,AR7,0))))))</f>
        <v>680</v>
      </c>
      <c r="AX6" s="223">
        <f>IF(D18=AS2,10,IF(D18=AS3,16,IF(D18=AS4,18,IF(D18=AS5,19,IF(D18=AS6,4,0)))))</f>
        <v>16</v>
      </c>
      <c r="AY6" s="223">
        <f t="shared" si="0"/>
        <v>1.2142080000000002</v>
      </c>
    </row>
    <row r="7" spans="1:52" ht="15" customHeight="1" x14ac:dyDescent="0.25">
      <c r="A7" s="293"/>
      <c r="B7" s="274"/>
      <c r="C7" s="274"/>
      <c r="D7" s="274"/>
      <c r="E7" s="274"/>
      <c r="AL7" s="231"/>
      <c r="AP7" s="216">
        <v>500</v>
      </c>
      <c r="AQ7" s="216" t="s">
        <v>215</v>
      </c>
      <c r="AR7" s="216">
        <v>900</v>
      </c>
      <c r="AS7" s="223"/>
      <c r="AU7" s="223" t="s">
        <v>276</v>
      </c>
      <c r="AV7" s="223">
        <f>IF(C22=AT2,(C26-42)*(C25-10-(AX5*2))/1000000,(C26-42)*(C25-10-AX5)/1000000)</f>
        <v>0.25556400000000001</v>
      </c>
      <c r="AW7" s="223">
        <f>IF(C19=AQ2,AR2,IF(C19=AQ3,AR3,IF(C19=AQ4,AR4,IF(C19=AQ5,AR5,IF(C19=AQ6,AR6,IF(C19=AQ7,AR7,0))))))</f>
        <v>680</v>
      </c>
      <c r="AX7" s="223">
        <f>IF(D19=AS2,10,IF(D19=AS3,16,IF(D19=AS4,18,IF(D19=AS5,19,IF(D19=AS6,4,0)))))</f>
        <v>16</v>
      </c>
      <c r="AY7" s="223">
        <f t="shared" si="0"/>
        <v>2.78053632</v>
      </c>
    </row>
    <row r="8" spans="1:52" ht="15" customHeight="1" x14ac:dyDescent="0.25">
      <c r="A8" s="293"/>
      <c r="B8" s="274"/>
      <c r="C8" s="274"/>
      <c r="D8" s="274"/>
      <c r="E8" s="274"/>
      <c r="AL8" s="231"/>
      <c r="AP8" s="216">
        <v>550</v>
      </c>
      <c r="AQ8" s="164"/>
      <c r="AR8" s="164"/>
      <c r="AU8" s="223" t="s">
        <v>275</v>
      </c>
      <c r="AV8" s="223">
        <f>C28*C29/1000000</f>
        <v>0.21</v>
      </c>
      <c r="AW8" s="223">
        <f>IF(C20=AQ2,AR2,IF(C20=AQ3,AR3,IF(C20=AQ4,AR4,IF(C20=AQ5,AR5,IF(C20=AQ6,AR6,IF(C20=AQ7,AR7,0))))))</f>
        <v>760</v>
      </c>
      <c r="AX8" s="223">
        <f>IF(D20=AS2,10,IF(D20=AS3,16,IF(D20=AS4,18,IF(D20=AS5,19,IF(D20=AS6,4,0)))))</f>
        <v>19</v>
      </c>
      <c r="AY8" s="223">
        <f t="shared" si="0"/>
        <v>3.0324</v>
      </c>
    </row>
    <row r="9" spans="1:52" ht="15" customHeight="1" x14ac:dyDescent="0.25">
      <c r="A9" s="293"/>
      <c r="B9" s="274"/>
      <c r="C9" s="274"/>
      <c r="D9" s="274"/>
      <c r="E9" s="274"/>
      <c r="AL9" s="231"/>
      <c r="AP9" s="216">
        <v>600</v>
      </c>
      <c r="AQ9" s="164"/>
      <c r="AR9" s="164"/>
      <c r="AY9" s="222">
        <f>SUM(AY3:AY8)</f>
        <v>10.373832320000002</v>
      </c>
    </row>
    <row r="10" spans="1:52" ht="15" customHeight="1" x14ac:dyDescent="0.25">
      <c r="A10" s="293"/>
      <c r="B10" s="274"/>
      <c r="C10" s="274"/>
      <c r="D10" s="274"/>
      <c r="E10" s="274"/>
      <c r="AL10" s="231"/>
      <c r="AP10" s="216">
        <v>650</v>
      </c>
      <c r="AQ10" s="164"/>
      <c r="AR10" s="164"/>
      <c r="AY10" s="224"/>
    </row>
    <row r="11" spans="1:52" ht="25.5" customHeight="1" x14ac:dyDescent="0.25">
      <c r="A11" s="293"/>
      <c r="B11" s="274"/>
      <c r="C11" s="274"/>
      <c r="D11" s="274"/>
      <c r="E11" s="274"/>
      <c r="AL11" s="231"/>
      <c r="AP11" s="216">
        <v>700</v>
      </c>
      <c r="AQ11" s="164"/>
      <c r="AR11" s="164"/>
    </row>
    <row r="12" spans="1:52" ht="18.75" customHeight="1" x14ac:dyDescent="0.25">
      <c r="A12" s="1214" t="s">
        <v>210</v>
      </c>
      <c r="B12" s="1215"/>
      <c r="C12" s="1215"/>
      <c r="D12" s="1215"/>
      <c r="E12" s="1215"/>
      <c r="F12" s="1215"/>
      <c r="G12" s="1215"/>
      <c r="H12" s="1215"/>
      <c r="I12" s="1215"/>
      <c r="J12" s="1215"/>
      <c r="K12" s="1216"/>
      <c r="L12" s="1216"/>
      <c r="M12" s="1216"/>
      <c r="N12" s="1216"/>
      <c r="O12" s="1216"/>
      <c r="P12" s="1216"/>
      <c r="Q12" s="1216"/>
      <c r="R12" s="1216"/>
      <c r="S12" s="1216"/>
      <c r="T12" s="1216"/>
      <c r="U12" s="1216"/>
      <c r="V12" s="1216"/>
      <c r="W12" s="1216"/>
      <c r="X12" s="1216"/>
      <c r="Y12" s="1216"/>
      <c r="Z12" s="1216"/>
      <c r="AA12" s="1216"/>
      <c r="AB12" s="1216"/>
      <c r="AC12" s="1216"/>
      <c r="AD12" s="1216"/>
      <c r="AE12" s="1216"/>
      <c r="AF12" s="1216"/>
      <c r="AG12" s="1216"/>
      <c r="AH12" s="1216"/>
      <c r="AI12" s="1216"/>
      <c r="AJ12" s="1216"/>
      <c r="AK12" s="1216"/>
      <c r="AL12" s="231"/>
      <c r="AP12" s="216">
        <v>750</v>
      </c>
      <c r="AQ12" s="164"/>
      <c r="AR12" s="164"/>
    </row>
    <row r="13" spans="1:52" ht="16.5" customHeight="1" x14ac:dyDescent="0.25">
      <c r="A13" s="295" t="s">
        <v>285</v>
      </c>
      <c r="B13" s="296"/>
      <c r="C13" s="296"/>
      <c r="D13" s="296"/>
      <c r="E13" s="296"/>
      <c r="F13" s="297"/>
      <c r="G13" s="296"/>
      <c r="H13" s="296"/>
      <c r="I13" s="298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31"/>
      <c r="AP13" s="164"/>
      <c r="AQ13" s="164"/>
      <c r="AR13" s="164"/>
    </row>
    <row r="14" spans="1:52" ht="18.75" customHeight="1" x14ac:dyDescent="0.25">
      <c r="A14" s="299" t="s">
        <v>286</v>
      </c>
      <c r="B14" s="296"/>
      <c r="C14" s="296"/>
      <c r="D14" s="296"/>
      <c r="E14" s="296"/>
      <c r="F14" s="300"/>
      <c r="G14" s="296"/>
      <c r="H14" s="296"/>
      <c r="I14" s="298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30"/>
      <c r="AP14" s="164"/>
      <c r="AQ14" s="164"/>
      <c r="AR14" s="164"/>
    </row>
    <row r="15" spans="1:52" ht="12" customHeight="1" x14ac:dyDescent="0.25">
      <c r="A15" s="269"/>
      <c r="B15" s="1162" t="s">
        <v>274</v>
      </c>
      <c r="C15" s="1163"/>
      <c r="D15" s="1164"/>
      <c r="E15" s="165"/>
      <c r="F15" s="165"/>
      <c r="G15" s="165"/>
      <c r="H15" s="165"/>
      <c r="I15" s="165"/>
      <c r="J15" s="165"/>
      <c r="K15" s="273"/>
      <c r="L15" s="272"/>
      <c r="M15" s="1242" t="s">
        <v>287</v>
      </c>
      <c r="N15" s="1242"/>
      <c r="O15" s="1242"/>
      <c r="P15" s="1242"/>
      <c r="Q15" s="1242"/>
      <c r="R15" s="1242"/>
      <c r="S15" s="1242"/>
      <c r="T15" s="1242"/>
      <c r="U15" s="1242"/>
      <c r="V15" s="1242"/>
      <c r="W15" s="1242"/>
      <c r="X15" s="1242"/>
      <c r="Y15" s="1242"/>
      <c r="Z15" s="1242"/>
      <c r="AA15" s="1242"/>
      <c r="AB15" s="1242"/>
      <c r="AC15" s="1242"/>
      <c r="AD15" s="1242"/>
      <c r="AE15" s="1242"/>
      <c r="AF15" s="1242"/>
      <c r="AG15" s="1242"/>
      <c r="AH15" s="1242"/>
      <c r="AI15" s="1242"/>
      <c r="AJ15" s="1242"/>
      <c r="AK15" s="271"/>
      <c r="AL15" s="244"/>
      <c r="AP15" s="164"/>
      <c r="AQ15" s="164"/>
      <c r="AR15" s="164"/>
    </row>
    <row r="16" spans="1:52" ht="12.75" customHeight="1" x14ac:dyDescent="0.25">
      <c r="A16" s="269"/>
      <c r="B16" s="1217"/>
      <c r="C16" s="1218"/>
      <c r="D16" s="1219"/>
      <c r="E16" s="165"/>
      <c r="F16" s="165"/>
      <c r="G16" s="1223" t="str">
        <f>D18</f>
        <v>16 мм</v>
      </c>
      <c r="H16" s="270" t="str">
        <f>D18</f>
        <v>16 мм</v>
      </c>
      <c r="I16" s="1247" t="str">
        <f>D18</f>
        <v>16 мм</v>
      </c>
      <c r="J16" s="165"/>
      <c r="K16" s="269"/>
      <c r="L16" s="208"/>
      <c r="M16" s="1243"/>
      <c r="N16" s="1243"/>
      <c r="O16" s="1243"/>
      <c r="P16" s="1243"/>
      <c r="Q16" s="1243"/>
      <c r="R16" s="1243"/>
      <c r="S16" s="1243"/>
      <c r="T16" s="1243"/>
      <c r="U16" s="1243"/>
      <c r="V16" s="1243"/>
      <c r="W16" s="1243"/>
      <c r="X16" s="1243"/>
      <c r="Y16" s="1243"/>
      <c r="Z16" s="1243"/>
      <c r="AA16" s="1243"/>
      <c r="AB16" s="1243"/>
      <c r="AC16" s="1243"/>
      <c r="AD16" s="1243"/>
      <c r="AE16" s="1243"/>
      <c r="AF16" s="1243"/>
      <c r="AG16" s="1243"/>
      <c r="AH16" s="1243"/>
      <c r="AI16" s="1243"/>
      <c r="AJ16" s="1243"/>
      <c r="AK16" s="201"/>
      <c r="AL16" s="244"/>
      <c r="AP16" s="164"/>
      <c r="AQ16" s="164"/>
      <c r="AR16" s="164"/>
    </row>
    <row r="17" spans="1:44" ht="18.75" customHeight="1" x14ac:dyDescent="0.25">
      <c r="A17" s="269"/>
      <c r="B17" s="204"/>
      <c r="C17" s="268" t="s">
        <v>197</v>
      </c>
      <c r="D17" s="268" t="s">
        <v>196</v>
      </c>
      <c r="E17" s="166"/>
      <c r="F17" s="166"/>
      <c r="G17" s="1224"/>
      <c r="H17" s="1220" t="str">
        <f>D19</f>
        <v>16 мм</v>
      </c>
      <c r="I17" s="1248"/>
      <c r="J17" s="166"/>
      <c r="K17" s="245"/>
      <c r="L17" s="208"/>
      <c r="M17" s="1243"/>
      <c r="N17" s="1243"/>
      <c r="O17" s="1243"/>
      <c r="P17" s="1243"/>
      <c r="Q17" s="1243"/>
      <c r="R17" s="1243"/>
      <c r="S17" s="1243"/>
      <c r="T17" s="1243"/>
      <c r="U17" s="1243"/>
      <c r="V17" s="1243"/>
      <c r="W17" s="1243"/>
      <c r="X17" s="1243"/>
      <c r="Y17" s="1243"/>
      <c r="Z17" s="1243"/>
      <c r="AA17" s="1243"/>
      <c r="AB17" s="1243"/>
      <c r="AC17" s="1243"/>
      <c r="AD17" s="1243"/>
      <c r="AE17" s="1243"/>
      <c r="AF17" s="1243"/>
      <c r="AG17" s="1243"/>
      <c r="AH17" s="1243"/>
      <c r="AI17" s="1243"/>
      <c r="AJ17" s="1243"/>
      <c r="AK17" s="201"/>
      <c r="AL17" s="244"/>
      <c r="AP17" s="164"/>
      <c r="AQ17" s="164"/>
      <c r="AR17" s="164"/>
    </row>
    <row r="18" spans="1:44" ht="20.25" customHeight="1" x14ac:dyDescent="0.25">
      <c r="A18" s="269"/>
      <c r="B18" s="267" t="s">
        <v>273</v>
      </c>
      <c r="C18" s="280" t="s">
        <v>244</v>
      </c>
      <c r="D18" s="280" t="s">
        <v>233</v>
      </c>
      <c r="E18" s="1254" t="str">
        <f>IF(AX3&gt;16,"Требуется доп. фрезеровка","")</f>
        <v/>
      </c>
      <c r="F18" s="1254"/>
      <c r="G18" s="1224"/>
      <c r="H18" s="1220"/>
      <c r="I18" s="1248"/>
      <c r="J18" s="166"/>
      <c r="K18" s="245"/>
      <c r="L18" s="201"/>
      <c r="M18" s="1230" t="s">
        <v>203</v>
      </c>
      <c r="N18" s="1231"/>
      <c r="O18" s="1231"/>
      <c r="P18" s="1231"/>
      <c r="Q18" s="1231"/>
      <c r="R18" s="1232"/>
      <c r="S18" s="1230" t="s">
        <v>202</v>
      </c>
      <c r="T18" s="1231"/>
      <c r="U18" s="1231"/>
      <c r="V18" s="1231"/>
      <c r="W18" s="1231"/>
      <c r="X18" s="1232"/>
      <c r="Y18" s="1230" t="s">
        <v>201</v>
      </c>
      <c r="Z18" s="1231"/>
      <c r="AA18" s="1231"/>
      <c r="AB18" s="1231"/>
      <c r="AC18" s="1231"/>
      <c r="AD18" s="1232"/>
      <c r="AE18" s="1230" t="s">
        <v>200</v>
      </c>
      <c r="AF18" s="1231"/>
      <c r="AG18" s="1231"/>
      <c r="AH18" s="1231"/>
      <c r="AI18" s="1231"/>
      <c r="AJ18" s="1232"/>
      <c r="AK18" s="201"/>
      <c r="AL18" s="244"/>
      <c r="AP18" s="164"/>
      <c r="AQ18" s="164"/>
      <c r="AR18" s="164"/>
    </row>
    <row r="19" spans="1:44" ht="24" customHeight="1" x14ac:dyDescent="0.25">
      <c r="A19" s="269"/>
      <c r="B19" s="267" t="s">
        <v>272</v>
      </c>
      <c r="C19" s="280" t="s">
        <v>244</v>
      </c>
      <c r="D19" s="280" t="s">
        <v>233</v>
      </c>
      <c r="E19" s="166"/>
      <c r="F19" s="166"/>
      <c r="G19" s="1224"/>
      <c r="H19" s="1220"/>
      <c r="I19" s="1248"/>
      <c r="J19" s="166"/>
      <c r="K19" s="245"/>
      <c r="L19" s="201"/>
      <c r="M19" s="1233"/>
      <c r="N19" s="1234"/>
      <c r="O19" s="1234"/>
      <c r="P19" s="1234"/>
      <c r="Q19" s="1234"/>
      <c r="R19" s="1235"/>
      <c r="S19" s="1233"/>
      <c r="T19" s="1234"/>
      <c r="U19" s="1234"/>
      <c r="V19" s="1234"/>
      <c r="W19" s="1234"/>
      <c r="X19" s="1235"/>
      <c r="Y19" s="1233"/>
      <c r="Z19" s="1234"/>
      <c r="AA19" s="1234"/>
      <c r="AB19" s="1234"/>
      <c r="AC19" s="1234"/>
      <c r="AD19" s="1235"/>
      <c r="AE19" s="1233"/>
      <c r="AF19" s="1234"/>
      <c r="AG19" s="1234"/>
      <c r="AH19" s="1234"/>
      <c r="AI19" s="1234"/>
      <c r="AJ19" s="1235"/>
      <c r="AK19" s="201"/>
      <c r="AL19" s="244"/>
      <c r="AP19" s="164"/>
      <c r="AQ19" s="164"/>
      <c r="AR19" s="164"/>
    </row>
    <row r="20" spans="1:44" ht="18.75" customHeight="1" x14ac:dyDescent="0.25">
      <c r="A20" s="269"/>
      <c r="B20" s="267" t="s">
        <v>125</v>
      </c>
      <c r="C20" s="280" t="s">
        <v>195</v>
      </c>
      <c r="D20" s="280" t="s">
        <v>194</v>
      </c>
      <c r="E20" s="166"/>
      <c r="F20" s="166"/>
      <c r="G20" s="1224"/>
      <c r="H20" s="1220"/>
      <c r="I20" s="1248"/>
      <c r="J20" s="166"/>
      <c r="K20" s="245"/>
      <c r="L20" s="201"/>
      <c r="M20" s="1236">
        <f>AY9</f>
        <v>10.373832320000002</v>
      </c>
      <c r="N20" s="1237"/>
      <c r="O20" s="1237"/>
      <c r="P20" s="1237"/>
      <c r="Q20" s="1237"/>
      <c r="R20" s="1238"/>
      <c r="S20" s="1244">
        <f>C31/1000</f>
        <v>0</v>
      </c>
      <c r="T20" s="1245"/>
      <c r="U20" s="1245"/>
      <c r="V20" s="1245"/>
      <c r="W20" s="1245"/>
      <c r="X20" s="1246"/>
      <c r="Y20" s="1236">
        <f>C32</f>
        <v>40</v>
      </c>
      <c r="Z20" s="1237"/>
      <c r="AA20" s="1237"/>
      <c r="AB20" s="1237"/>
      <c r="AC20" s="1237"/>
      <c r="AD20" s="1238"/>
      <c r="AE20" s="1236">
        <f>M20+S20+Y20</f>
        <v>50.373832320000005</v>
      </c>
      <c r="AF20" s="1237"/>
      <c r="AG20" s="1237"/>
      <c r="AH20" s="1237"/>
      <c r="AI20" s="1237"/>
      <c r="AJ20" s="1238"/>
      <c r="AK20" s="201"/>
      <c r="AL20" s="244"/>
      <c r="AP20" s="164"/>
      <c r="AQ20" s="164"/>
      <c r="AR20" s="164"/>
    </row>
    <row r="21" spans="1:44" ht="18.75" customHeight="1" x14ac:dyDescent="0.25">
      <c r="A21" s="269"/>
      <c r="B21" s="1156" t="s">
        <v>271</v>
      </c>
      <c r="C21" s="1156"/>
      <c r="D21" s="1156"/>
      <c r="E21" s="166"/>
      <c r="F21" s="166"/>
      <c r="G21" s="1224"/>
      <c r="H21" s="1220"/>
      <c r="I21" s="1248"/>
      <c r="J21" s="166"/>
      <c r="K21" s="245"/>
      <c r="L21" s="201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199"/>
      <c r="AF21" s="199"/>
      <c r="AG21" s="199"/>
      <c r="AH21" s="199"/>
      <c r="AI21" s="199"/>
      <c r="AJ21" s="199"/>
      <c r="AK21" s="201"/>
      <c r="AL21" s="244"/>
      <c r="AP21" s="164"/>
      <c r="AQ21" s="164"/>
      <c r="AR21" s="164"/>
    </row>
    <row r="22" spans="1:44" ht="18" customHeight="1" x14ac:dyDescent="0.25">
      <c r="A22" s="269"/>
      <c r="B22" s="236" t="s">
        <v>270</v>
      </c>
      <c r="C22" s="1241" t="s">
        <v>242</v>
      </c>
      <c r="D22" s="1241"/>
      <c r="E22" s="166"/>
      <c r="F22" s="166"/>
      <c r="G22" s="1224"/>
      <c r="H22" s="1220"/>
      <c r="I22" s="1248"/>
      <c r="J22" s="166"/>
      <c r="K22" s="245"/>
      <c r="L22" s="1255" t="s">
        <v>269</v>
      </c>
      <c r="M22" s="1255"/>
      <c r="N22" s="1255"/>
      <c r="O22" s="1255"/>
      <c r="P22" s="1255"/>
      <c r="Q22" s="1255"/>
      <c r="R22" s="1255"/>
      <c r="S22" s="1255"/>
      <c r="T22" s="1255"/>
      <c r="U22" s="1255"/>
      <c r="V22" s="1255"/>
      <c r="W22" s="1255"/>
      <c r="X22" s="1255"/>
      <c r="Y22" s="1255"/>
      <c r="Z22" s="1255"/>
      <c r="AA22" s="1255"/>
      <c r="AB22" s="1255"/>
      <c r="AC22" s="1255"/>
      <c r="AD22" s="1255"/>
      <c r="AE22" s="1255"/>
      <c r="AF22" s="1255"/>
      <c r="AG22" s="1255"/>
      <c r="AH22" s="1255"/>
      <c r="AI22" s="1255"/>
      <c r="AJ22" s="1255"/>
      <c r="AK22" s="201"/>
      <c r="AL22" s="244"/>
      <c r="AP22" s="164"/>
      <c r="AQ22" s="164"/>
      <c r="AR22" s="164"/>
    </row>
    <row r="23" spans="1:44" ht="12" customHeight="1" x14ac:dyDescent="0.25">
      <c r="A23" s="269"/>
      <c r="B23" s="1162" t="s">
        <v>207</v>
      </c>
      <c r="C23" s="1164"/>
      <c r="D23" s="264"/>
      <c r="E23" s="166"/>
      <c r="F23" s="166"/>
      <c r="G23" s="1224"/>
      <c r="H23" s="265" t="str">
        <f>D18</f>
        <v>16 мм</v>
      </c>
      <c r="I23" s="1248"/>
      <c r="J23" s="166"/>
      <c r="K23" s="245"/>
      <c r="L23" s="1255"/>
      <c r="M23" s="1255"/>
      <c r="N23" s="1255"/>
      <c r="O23" s="1255"/>
      <c r="P23" s="1255"/>
      <c r="Q23" s="1255"/>
      <c r="R23" s="1255"/>
      <c r="S23" s="1255"/>
      <c r="T23" s="1255"/>
      <c r="U23" s="1255"/>
      <c r="V23" s="1255"/>
      <c r="W23" s="1255"/>
      <c r="X23" s="1255"/>
      <c r="Y23" s="1255"/>
      <c r="Z23" s="1255"/>
      <c r="AA23" s="1255"/>
      <c r="AB23" s="1255"/>
      <c r="AC23" s="1255"/>
      <c r="AD23" s="1255"/>
      <c r="AE23" s="1255"/>
      <c r="AF23" s="1255"/>
      <c r="AG23" s="1255"/>
      <c r="AH23" s="1255"/>
      <c r="AI23" s="1255"/>
      <c r="AJ23" s="1255"/>
      <c r="AK23" s="201"/>
      <c r="AL23" s="244"/>
      <c r="AP23" s="164"/>
      <c r="AQ23" s="164"/>
      <c r="AR23" s="164"/>
    </row>
    <row r="24" spans="1:44" ht="18.75" customHeight="1" x14ac:dyDescent="0.25">
      <c r="A24" s="269"/>
      <c r="B24" s="1249"/>
      <c r="C24" s="1250"/>
      <c r="D24" s="264"/>
      <c r="E24" s="166"/>
      <c r="F24" s="1221" t="str">
        <f>D20</f>
        <v>19 мм</v>
      </c>
      <c r="G24" s="1222"/>
      <c r="H24" s="1222"/>
      <c r="I24" s="1222"/>
      <c r="J24" s="1222"/>
      <c r="K24" s="1259" t="s">
        <v>268</v>
      </c>
      <c r="L24" s="1260"/>
      <c r="M24" s="1251" t="s">
        <v>191</v>
      </c>
      <c r="N24" s="1252"/>
      <c r="O24" s="1252"/>
      <c r="P24" s="1253"/>
      <c r="Q24" s="1251" t="s">
        <v>190</v>
      </c>
      <c r="R24" s="1252"/>
      <c r="S24" s="1252"/>
      <c r="T24" s="1253"/>
      <c r="U24" s="1251" t="s">
        <v>189</v>
      </c>
      <c r="V24" s="1252"/>
      <c r="W24" s="1252"/>
      <c r="X24" s="1253"/>
      <c r="Y24" s="1251" t="s">
        <v>188</v>
      </c>
      <c r="Z24" s="1252"/>
      <c r="AA24" s="1252"/>
      <c r="AB24" s="1253"/>
      <c r="AC24" s="1251" t="s">
        <v>187</v>
      </c>
      <c r="AD24" s="1252"/>
      <c r="AE24" s="1252"/>
      <c r="AF24" s="1253"/>
      <c r="AG24" s="1251" t="s">
        <v>186</v>
      </c>
      <c r="AH24" s="1252"/>
      <c r="AI24" s="1252"/>
      <c r="AJ24" s="1253"/>
      <c r="AK24" s="201"/>
      <c r="AL24" s="244"/>
      <c r="AP24" s="164"/>
      <c r="AQ24" s="164"/>
      <c r="AR24" s="164"/>
    </row>
    <row r="25" spans="1:44" ht="21.75" customHeight="1" x14ac:dyDescent="0.25">
      <c r="A25" s="269"/>
      <c r="B25" s="236" t="s">
        <v>204</v>
      </c>
      <c r="C25" s="263">
        <v>500</v>
      </c>
      <c r="D25" s="235"/>
      <c r="E25" s="262"/>
      <c r="F25" s="261"/>
      <c r="G25" s="261"/>
      <c r="H25" s="261"/>
      <c r="I25" s="166"/>
      <c r="J25" s="166"/>
      <c r="K25" s="1257" t="s">
        <v>267</v>
      </c>
      <c r="L25" s="250" t="s">
        <v>266</v>
      </c>
      <c r="M25" s="256"/>
      <c r="N25" s="255"/>
      <c r="O25" s="255"/>
      <c r="P25" s="255"/>
      <c r="Q25" s="255"/>
      <c r="R25" s="255"/>
      <c r="S25" s="255"/>
      <c r="T25" s="260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8"/>
      <c r="AF25" s="258"/>
      <c r="AG25" s="258"/>
      <c r="AH25" s="258"/>
      <c r="AI25" s="258"/>
      <c r="AJ25" s="257"/>
      <c r="AK25" s="201"/>
      <c r="AL25" s="244"/>
      <c r="AP25" s="164"/>
      <c r="AQ25" s="164"/>
      <c r="AR25" s="164"/>
    </row>
    <row r="26" spans="1:44" ht="21.75" customHeight="1" x14ac:dyDescent="0.25">
      <c r="A26" s="269"/>
      <c r="B26" s="236" t="s">
        <v>199</v>
      </c>
      <c r="C26" s="279">
        <v>600</v>
      </c>
      <c r="D26" s="1225" t="s">
        <v>265</v>
      </c>
      <c r="E26" s="1226"/>
      <c r="F26" s="1226"/>
      <c r="G26" s="1226"/>
      <c r="H26" s="1226"/>
      <c r="I26" s="166"/>
      <c r="J26" s="166"/>
      <c r="K26" s="1258"/>
      <c r="L26" s="250" t="s">
        <v>183</v>
      </c>
      <c r="M26" s="256"/>
      <c r="N26" s="255"/>
      <c r="O26" s="254"/>
      <c r="P26" s="254"/>
      <c r="Q26" s="254"/>
      <c r="R26" s="254"/>
      <c r="S26" s="254"/>
      <c r="T26" s="253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7"/>
      <c r="AF26" s="187"/>
      <c r="AG26" s="187"/>
      <c r="AH26" s="187"/>
      <c r="AI26" s="187"/>
      <c r="AJ26" s="186"/>
      <c r="AK26" s="201"/>
      <c r="AL26" s="244"/>
      <c r="AO26" s="220"/>
      <c r="AP26" s="164"/>
      <c r="AQ26" s="164"/>
      <c r="AR26" s="164"/>
    </row>
    <row r="27" spans="1:44" ht="18.75" customHeight="1" x14ac:dyDescent="0.25">
      <c r="A27" s="269"/>
      <c r="B27" s="236" t="s">
        <v>264</v>
      </c>
      <c r="C27" s="279">
        <v>200</v>
      </c>
      <c r="D27" s="276"/>
      <c r="E27" s="1263" t="s">
        <v>263</v>
      </c>
      <c r="F27" s="1263"/>
      <c r="G27" s="1263"/>
      <c r="H27" s="1263"/>
      <c r="I27" s="166"/>
      <c r="J27" s="166"/>
      <c r="K27" s="1258"/>
      <c r="L27" s="250" t="s">
        <v>180</v>
      </c>
      <c r="M27" s="184"/>
      <c r="N27" s="183"/>
      <c r="O27" s="249"/>
      <c r="P27" s="248"/>
      <c r="Q27" s="248"/>
      <c r="R27" s="248"/>
      <c r="S27" s="248"/>
      <c r="T27" s="248"/>
      <c r="U27" s="248"/>
      <c r="V27" s="248"/>
      <c r="W27" s="252"/>
      <c r="X27" s="252"/>
      <c r="Y27" s="252"/>
      <c r="Z27" s="252"/>
      <c r="AA27" s="252"/>
      <c r="AB27" s="251"/>
      <c r="AC27" s="183"/>
      <c r="AD27" s="183"/>
      <c r="AE27" s="183"/>
      <c r="AF27" s="183"/>
      <c r="AG27" s="183"/>
      <c r="AH27" s="183"/>
      <c r="AI27" s="183"/>
      <c r="AJ27" s="182"/>
      <c r="AK27" s="201"/>
      <c r="AL27" s="244"/>
      <c r="AP27" s="164"/>
      <c r="AQ27" s="164"/>
      <c r="AR27" s="164"/>
    </row>
    <row r="28" spans="1:44" ht="18.75" customHeight="1" x14ac:dyDescent="0.25">
      <c r="A28" s="269"/>
      <c r="B28" s="236" t="s">
        <v>262</v>
      </c>
      <c r="C28" s="279">
        <v>600</v>
      </c>
      <c r="D28" s="276"/>
      <c r="E28" s="1263" t="s">
        <v>261</v>
      </c>
      <c r="F28" s="1263"/>
      <c r="G28" s="1263"/>
      <c r="H28" s="1263"/>
      <c r="I28" s="166"/>
      <c r="J28" s="166"/>
      <c r="K28" s="1258"/>
      <c r="L28" s="250" t="s">
        <v>178</v>
      </c>
      <c r="M28" s="180"/>
      <c r="N28" s="179"/>
      <c r="O28" s="179"/>
      <c r="P28" s="179"/>
      <c r="Q28" s="179"/>
      <c r="R28" s="179"/>
      <c r="S28" s="179"/>
      <c r="T28" s="179"/>
      <c r="U28" s="179"/>
      <c r="V28" s="179"/>
      <c r="W28" s="249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7"/>
      <c r="AK28" s="201"/>
      <c r="AL28" s="244"/>
      <c r="AP28" s="164"/>
      <c r="AQ28" s="164"/>
      <c r="AR28" s="164"/>
    </row>
    <row r="29" spans="1:44" ht="18.75" customHeight="1" x14ac:dyDescent="0.25">
      <c r="A29" s="269"/>
      <c r="B29" s="236" t="s">
        <v>260</v>
      </c>
      <c r="C29" s="246">
        <v>350</v>
      </c>
      <c r="D29" s="276"/>
      <c r="E29" s="1263" t="s">
        <v>259</v>
      </c>
      <c r="F29" s="1263"/>
      <c r="G29" s="1263"/>
      <c r="H29" s="1263"/>
      <c r="I29" s="166"/>
      <c r="J29" s="166"/>
      <c r="K29" s="245"/>
      <c r="L29" s="1180" t="str">
        <f>IF(AND(C25&lt;350,AE20&gt;20),IF((M20+S20)&lt;20,"Уменьшите вес загрузки ящика","Слищком тяжелый ящик, уменьшите размер"),IF(AE20&gt;60,IF((M20+S20)&lt;60,"Уменьшите вес загрузки ящика","Слишком тяжелый ящик, уменьшите размер"),""))</f>
        <v/>
      </c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80"/>
      <c r="AC29" s="1180"/>
      <c r="AD29" s="1180"/>
      <c r="AE29" s="1180"/>
      <c r="AF29" s="1180"/>
      <c r="AG29" s="1180"/>
      <c r="AH29" s="1180"/>
      <c r="AI29" s="1180"/>
      <c r="AJ29" s="1180"/>
      <c r="AK29" s="201"/>
      <c r="AL29" s="244"/>
      <c r="AP29" s="164"/>
      <c r="AQ29" s="164"/>
      <c r="AR29" s="164"/>
    </row>
    <row r="30" spans="1:44" ht="18.75" customHeight="1" x14ac:dyDescent="0.25">
      <c r="A30" s="269"/>
      <c r="B30" s="1239" t="s">
        <v>185</v>
      </c>
      <c r="C30" s="1240"/>
      <c r="D30" s="276"/>
      <c r="E30" s="1263" t="s">
        <v>258</v>
      </c>
      <c r="F30" s="1263"/>
      <c r="G30" s="1263"/>
      <c r="H30" s="1263"/>
      <c r="I30" s="166"/>
      <c r="J30" s="166"/>
      <c r="K30" s="243"/>
      <c r="L30" s="1256"/>
      <c r="M30" s="1256"/>
      <c r="N30" s="1256"/>
      <c r="O30" s="1256"/>
      <c r="P30" s="1256"/>
      <c r="Q30" s="1256"/>
      <c r="R30" s="1256"/>
      <c r="S30" s="1256"/>
      <c r="T30" s="1256"/>
      <c r="U30" s="1256"/>
      <c r="V30" s="1256"/>
      <c r="W30" s="1256"/>
      <c r="X30" s="1256"/>
      <c r="Y30" s="1256"/>
      <c r="Z30" s="1256"/>
      <c r="AA30" s="1256"/>
      <c r="AB30" s="1256"/>
      <c r="AC30" s="1256"/>
      <c r="AD30" s="1256"/>
      <c r="AE30" s="1256"/>
      <c r="AF30" s="1256"/>
      <c r="AG30" s="1256"/>
      <c r="AH30" s="1256"/>
      <c r="AI30" s="1256"/>
      <c r="AJ30" s="1256"/>
      <c r="AK30" s="242"/>
      <c r="AL30" s="241"/>
      <c r="AP30" s="164"/>
      <c r="AQ30" s="164"/>
      <c r="AR30" s="164"/>
    </row>
    <row r="31" spans="1:44" ht="18.75" customHeight="1" x14ac:dyDescent="0.25">
      <c r="A31" s="269"/>
      <c r="B31" s="236" t="s">
        <v>182</v>
      </c>
      <c r="C31" s="279">
        <v>0</v>
      </c>
      <c r="D31" s="276"/>
      <c r="E31" s="1263" t="s">
        <v>257</v>
      </c>
      <c r="F31" s="1263"/>
      <c r="G31" s="1263"/>
      <c r="H31" s="1263"/>
      <c r="I31" s="166"/>
      <c r="J31" s="166"/>
      <c r="K31" s="240"/>
      <c r="L31" s="1261" t="s">
        <v>177</v>
      </c>
      <c r="M31" s="1261"/>
      <c r="N31" s="1261"/>
      <c r="O31" s="1261"/>
      <c r="P31" s="1261"/>
      <c r="Q31" s="1261"/>
      <c r="R31" s="1261"/>
      <c r="S31" s="1261"/>
      <c r="T31" s="1261"/>
      <c r="U31" s="1261"/>
      <c r="V31" s="1261"/>
      <c r="W31" s="1261"/>
      <c r="X31" s="1261"/>
      <c r="Y31" s="1261"/>
      <c r="Z31" s="1261"/>
      <c r="AA31" s="1261"/>
      <c r="AB31" s="1261"/>
      <c r="AC31" s="1261"/>
      <c r="AD31" s="1261"/>
      <c r="AE31" s="239">
        <f>FLOOR(1125/(C26-267),1)</f>
        <v>3</v>
      </c>
      <c r="AF31" s="1262" t="str">
        <f>IF(AE31&lt;2,"ящик",IF(AE31&lt;5,"ящика","ящиков"))</f>
        <v>ящика</v>
      </c>
      <c r="AG31" s="1262"/>
      <c r="AH31" s="1262"/>
      <c r="AI31" s="1262"/>
      <c r="AJ31" s="282"/>
      <c r="AK31" s="238"/>
      <c r="AL31" s="237"/>
      <c r="AP31" s="164"/>
      <c r="AQ31" s="164"/>
      <c r="AR31" s="164"/>
    </row>
    <row r="32" spans="1:44" ht="33" customHeight="1" x14ac:dyDescent="0.25">
      <c r="A32" s="269"/>
      <c r="B32" s="236" t="s">
        <v>179</v>
      </c>
      <c r="C32" s="279">
        <v>40</v>
      </c>
      <c r="D32" s="276"/>
      <c r="E32" s="1264" t="s">
        <v>282</v>
      </c>
      <c r="F32" s="1264"/>
      <c r="G32" s="1264"/>
      <c r="H32" s="1264"/>
      <c r="I32" s="166"/>
      <c r="J32" s="166"/>
      <c r="K32" s="174"/>
      <c r="L32" s="201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201"/>
      <c r="AL32" s="244"/>
      <c r="AP32" s="164"/>
      <c r="AQ32" s="164"/>
      <c r="AR32" s="164"/>
    </row>
    <row r="33" spans="1:44" ht="18.75" customHeight="1" x14ac:dyDescent="0.25">
      <c r="A33" s="294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42"/>
      <c r="AL33" s="241"/>
      <c r="AP33" s="164"/>
      <c r="AQ33" s="164"/>
      <c r="AR33" s="164"/>
    </row>
    <row r="34" spans="1:44" ht="23.25" x14ac:dyDescent="0.35">
      <c r="A34" s="1227"/>
      <c r="B34" s="1228"/>
      <c r="C34" s="1228"/>
      <c r="D34" s="1228"/>
      <c r="E34" s="1229"/>
      <c r="F34" s="1229"/>
      <c r="G34" s="1229"/>
      <c r="H34" s="1229"/>
      <c r="I34" s="1229"/>
      <c r="J34" s="1229"/>
      <c r="K34" s="1229"/>
    </row>
    <row r="35" spans="1:44" x14ac:dyDescent="0.25">
      <c r="D35" s="234"/>
    </row>
    <row r="36" spans="1:44" ht="15.75" customHeight="1" x14ac:dyDescent="0.25">
      <c r="D36" s="1206"/>
      <c r="E36" s="1207"/>
      <c r="F36" s="1207"/>
      <c r="G36" s="1207"/>
      <c r="H36" s="1207"/>
      <c r="I36" s="1207"/>
      <c r="J36" s="1207"/>
    </row>
    <row r="37" spans="1:44" x14ac:dyDescent="0.25">
      <c r="D37" s="1207"/>
      <c r="E37" s="1207"/>
      <c r="F37" s="1207"/>
      <c r="G37" s="1207"/>
      <c r="H37" s="1207"/>
      <c r="I37" s="1207"/>
      <c r="J37" s="1207"/>
    </row>
    <row r="38" spans="1:44" x14ac:dyDescent="0.25">
      <c r="D38" s="1208"/>
      <c r="E38" s="1209"/>
      <c r="F38" s="1209"/>
      <c r="G38" s="1209"/>
      <c r="H38" s="1209"/>
      <c r="I38" s="1209"/>
      <c r="J38" s="1209"/>
    </row>
    <row r="39" spans="1:44" x14ac:dyDescent="0.25">
      <c r="D39" s="1209"/>
      <c r="E39" s="1209"/>
      <c r="F39" s="1209"/>
      <c r="G39" s="1209"/>
      <c r="H39" s="1209"/>
      <c r="I39" s="1209"/>
      <c r="J39" s="1209"/>
    </row>
    <row r="40" spans="1:44" x14ac:dyDescent="0.25">
      <c r="D40" s="1206"/>
      <c r="E40" s="1210"/>
      <c r="F40" s="1210"/>
      <c r="G40" s="1210"/>
      <c r="H40" s="1210"/>
      <c r="I40" s="1210"/>
      <c r="J40" s="1210"/>
    </row>
    <row r="41" spans="1:44" x14ac:dyDescent="0.25">
      <c r="D41" s="1210"/>
      <c r="E41" s="1210"/>
      <c r="F41" s="1210"/>
      <c r="G41" s="1210"/>
      <c r="H41" s="1210"/>
      <c r="I41" s="1210"/>
      <c r="J41" s="1210"/>
    </row>
    <row r="42" spans="1:44" x14ac:dyDescent="0.25">
      <c r="D42" s="233"/>
    </row>
    <row r="43" spans="1:44" x14ac:dyDescent="0.25">
      <c r="D43" s="1206"/>
      <c r="E43" s="1207"/>
      <c r="F43" s="1207"/>
      <c r="G43" s="1207"/>
      <c r="H43" s="1207"/>
      <c r="I43" s="1207"/>
      <c r="J43" s="1207"/>
    </row>
    <row r="44" spans="1:44" x14ac:dyDescent="0.25">
      <c r="D44" s="1207"/>
      <c r="E44" s="1207"/>
      <c r="F44" s="1207"/>
      <c r="G44" s="1207"/>
      <c r="H44" s="1207"/>
      <c r="I44" s="1207"/>
      <c r="J44" s="1207"/>
    </row>
    <row r="45" spans="1:44" x14ac:dyDescent="0.25">
      <c r="D45" s="232"/>
    </row>
    <row r="46" spans="1:44" x14ac:dyDescent="0.25">
      <c r="D46" s="232"/>
    </row>
  </sheetData>
  <sheetProtection algorithmName="SHA-512" hashValue="luNBMB1LtL7Z9CM2rFAG1qQGhPwoSRbs1AenZoS4u5hQdXkzpjSE3ptMzfK/P5NCX0wnEUrVJyFv1vFTxCJVUw==" saltValue="tHz/ph3tIN3ih+bcor6kmg==" spinCount="100000" sheet="1" formatCells="0" formatColumns="0" formatRows="0" insertColumns="0" insertRows="0" insertHyperlinks="0" deleteColumns="0" deleteRows="0" sort="0" autoFilter="0" pivotTables="0"/>
  <customSheetViews>
    <customSheetView guid="{A25B6F15-9B48-4230-9C30-183637D1319E}" scale="89" showGridLines="0" showRowCol="0" fitToPage="1" hiddenColumns="1">
      <selection activeCell="AM5" sqref="AM5"/>
      <pageMargins left="0.70866141732283472" right="0.70866141732283472" top="0.74803149606299213" bottom="0.74803149606299213" header="0.31496062992125984" footer="0.31496062992125984"/>
      <pageSetup paperSize="9" scale="28" orientation="landscape" r:id="rId1"/>
    </customSheetView>
  </customSheetViews>
  <mergeCells count="46">
    <mergeCell ref="L31:AD31"/>
    <mergeCell ref="AF31:AI31"/>
    <mergeCell ref="E31:H31"/>
    <mergeCell ref="E32:H32"/>
    <mergeCell ref="E27:H27"/>
    <mergeCell ref="E28:H28"/>
    <mergeCell ref="E29:H29"/>
    <mergeCell ref="E30:H30"/>
    <mergeCell ref="Y24:AB24"/>
    <mergeCell ref="AC24:AF24"/>
    <mergeCell ref="L29:AJ30"/>
    <mergeCell ref="K25:K28"/>
    <mergeCell ref="U24:X24"/>
    <mergeCell ref="K24:L24"/>
    <mergeCell ref="AU1:AY1"/>
    <mergeCell ref="B30:C30"/>
    <mergeCell ref="M18:R19"/>
    <mergeCell ref="M20:R20"/>
    <mergeCell ref="C22:D22"/>
    <mergeCell ref="M15:AJ17"/>
    <mergeCell ref="S18:X19"/>
    <mergeCell ref="S20:X20"/>
    <mergeCell ref="I16:I23"/>
    <mergeCell ref="B21:D21"/>
    <mergeCell ref="B23:C24"/>
    <mergeCell ref="AG24:AJ24"/>
    <mergeCell ref="E18:F18"/>
    <mergeCell ref="L22:AJ23"/>
    <mergeCell ref="M24:P24"/>
    <mergeCell ref="Q24:T24"/>
    <mergeCell ref="D36:J37"/>
    <mergeCell ref="D38:J39"/>
    <mergeCell ref="D40:J41"/>
    <mergeCell ref="D43:J44"/>
    <mergeCell ref="A1:AK1"/>
    <mergeCell ref="A12:AK12"/>
    <mergeCell ref="B15:D16"/>
    <mergeCell ref="H17:H22"/>
    <mergeCell ref="F24:J24"/>
    <mergeCell ref="G16:G23"/>
    <mergeCell ref="D26:H26"/>
    <mergeCell ref="A34:K34"/>
    <mergeCell ref="Y18:AD19"/>
    <mergeCell ref="Y20:AD20"/>
    <mergeCell ref="AE18:AJ19"/>
    <mergeCell ref="AE20:AJ20"/>
  </mergeCells>
  <conditionalFormatting sqref="H23">
    <cfRule type="expression" dxfId="56" priority="29">
      <formula>$C$22=$AT$3</formula>
    </cfRule>
  </conditionalFormatting>
  <conditionalFormatting sqref="L25">
    <cfRule type="expression" dxfId="55" priority="4">
      <formula>AND($C$25&lt;350,$AE$20&lt;20)</formula>
    </cfRule>
  </conditionalFormatting>
  <conditionalFormatting sqref="L26">
    <cfRule type="expression" dxfId="54" priority="3">
      <formula>AND($C$25&gt;349,$AE$20&lt;20.01)</formula>
    </cfRule>
  </conditionalFormatting>
  <conditionalFormatting sqref="L27">
    <cfRule type="expression" dxfId="53" priority="2">
      <formula>AND($C$25&gt;349,$AE$20&gt;4.99,$AE$20&lt;40.01)</formula>
    </cfRule>
  </conditionalFormatting>
  <conditionalFormatting sqref="L28">
    <cfRule type="expression" dxfId="52" priority="1">
      <formula>AND($C$25&gt;349,$AE$20&gt;24.99,$AE$20&lt;60)</formula>
    </cfRule>
  </conditionalFormatting>
  <conditionalFormatting sqref="M25:M28">
    <cfRule type="expression" dxfId="51" priority="28">
      <formula>$AZ$2=1</formula>
    </cfRule>
  </conditionalFormatting>
  <conditionalFormatting sqref="N25:N28">
    <cfRule type="expression" dxfId="50" priority="27">
      <formula>$AZ$2=2</formula>
    </cfRule>
  </conditionalFormatting>
  <conditionalFormatting sqref="O25:O28">
    <cfRule type="expression" dxfId="49" priority="26">
      <formula>$AZ$2=3</formula>
    </cfRule>
  </conditionalFormatting>
  <conditionalFormatting sqref="P25:P28">
    <cfRule type="expression" dxfId="48" priority="25">
      <formula>$AZ$2=4</formula>
    </cfRule>
  </conditionalFormatting>
  <conditionalFormatting sqref="Q25:Q28">
    <cfRule type="expression" dxfId="47" priority="24">
      <formula>$AZ$2=5</formula>
    </cfRule>
  </conditionalFormatting>
  <conditionalFormatting sqref="R25:R28">
    <cfRule type="expression" dxfId="46" priority="23">
      <formula>$AZ$2=6</formula>
    </cfRule>
  </conditionalFormatting>
  <conditionalFormatting sqref="S25:S28">
    <cfRule type="expression" dxfId="45" priority="22">
      <formula>$AZ$2=7</formula>
    </cfRule>
  </conditionalFormatting>
  <conditionalFormatting sqref="T25:T28">
    <cfRule type="expression" dxfId="44" priority="21">
      <formula>$AZ$2=8</formula>
    </cfRule>
  </conditionalFormatting>
  <conditionalFormatting sqref="U25:U28">
    <cfRule type="expression" dxfId="43" priority="20">
      <formula>$AZ$2=9</formula>
    </cfRule>
  </conditionalFormatting>
  <conditionalFormatting sqref="V25:V28">
    <cfRule type="expression" dxfId="42" priority="19">
      <formula>$AZ$2=10</formula>
    </cfRule>
  </conditionalFormatting>
  <conditionalFormatting sqref="W25:W28">
    <cfRule type="expression" dxfId="41" priority="18">
      <formula>$AZ$2=11</formula>
    </cfRule>
  </conditionalFormatting>
  <conditionalFormatting sqref="X25:X28">
    <cfRule type="expression" dxfId="40" priority="17">
      <formula>$AZ$2=12</formula>
    </cfRule>
  </conditionalFormatting>
  <conditionalFormatting sqref="Y25:Y28">
    <cfRule type="expression" dxfId="39" priority="16">
      <formula>$AZ$2=13</formula>
    </cfRule>
  </conditionalFormatting>
  <conditionalFormatting sqref="Z25:Z28">
    <cfRule type="expression" dxfId="38" priority="15">
      <formula>$AZ$2=14</formula>
    </cfRule>
  </conditionalFormatting>
  <conditionalFormatting sqref="AA25:AA28">
    <cfRule type="expression" dxfId="37" priority="14">
      <formula>$AZ$2=15</formula>
    </cfRule>
  </conditionalFormatting>
  <conditionalFormatting sqref="AB25:AB28">
    <cfRule type="expression" dxfId="36" priority="13">
      <formula>$AZ$2=16</formula>
    </cfRule>
  </conditionalFormatting>
  <conditionalFormatting sqref="AC25:AC28">
    <cfRule type="expression" dxfId="35" priority="12">
      <formula>$AZ$2=17</formula>
    </cfRule>
  </conditionalFormatting>
  <conditionalFormatting sqref="AD25:AD28">
    <cfRule type="expression" dxfId="34" priority="11">
      <formula>$AZ$2=18</formula>
    </cfRule>
  </conditionalFormatting>
  <conditionalFormatting sqref="AE25:AE28">
    <cfRule type="expression" dxfId="33" priority="10">
      <formula>$AZ$2=19</formula>
    </cfRule>
  </conditionalFormatting>
  <conditionalFormatting sqref="AF25:AF28">
    <cfRule type="expression" dxfId="32" priority="9">
      <formula>$AZ$2=20</formula>
    </cfRule>
  </conditionalFormatting>
  <conditionalFormatting sqref="AG25:AG28">
    <cfRule type="expression" dxfId="31" priority="8">
      <formula>$AZ$2=21</formula>
    </cfRule>
  </conditionalFormatting>
  <conditionalFormatting sqref="AH25:AH28">
    <cfRule type="expression" dxfId="30" priority="7">
      <formula>$AZ$2=22</formula>
    </cfRule>
  </conditionalFormatting>
  <conditionalFormatting sqref="AI25:AI28">
    <cfRule type="expression" dxfId="29" priority="6">
      <formula>$AZ$2=23</formula>
    </cfRule>
  </conditionalFormatting>
  <conditionalFormatting sqref="AJ25:AJ28">
    <cfRule type="expression" dxfId="28" priority="5">
      <formula>$AZ$2=24</formula>
    </cfRule>
  </conditionalFormatting>
  <dataValidations count="7">
    <dataValidation type="list" allowBlank="1" showInputMessage="1" showErrorMessage="1" sqref="C25:D25" xr:uid="{00000000-0002-0000-0D00-000000000000}">
      <formula1>$AP$2:$AP$12</formula1>
    </dataValidation>
    <dataValidation type="list" allowBlank="1" showInputMessage="1" showErrorMessage="1" sqref="C22:D22" xr:uid="{00000000-0002-0000-0D00-000001000000}">
      <formula1>$AT$2:$AT$3</formula1>
    </dataValidation>
    <dataValidation type="list" allowBlank="1" showInputMessage="1" showErrorMessage="1" sqref="D20" xr:uid="{00000000-0002-0000-0D00-000002000000}">
      <formula1>$AS$3:$AS$5</formula1>
    </dataValidation>
    <dataValidation type="list" allowBlank="1" showInputMessage="1" showErrorMessage="1" sqref="D18" xr:uid="{00000000-0002-0000-0D00-000003000000}">
      <formula1>$AS$2:$AS$5</formula1>
    </dataValidation>
    <dataValidation type="list" allowBlank="1" showInputMessage="1" showErrorMessage="1" sqref="D19" xr:uid="{00000000-0002-0000-0D00-000004000000}">
      <formula1>$AS$2:$AS$6</formula1>
    </dataValidation>
    <dataValidation type="list" allowBlank="1" showInputMessage="1" showErrorMessage="1" sqref="C19" xr:uid="{00000000-0002-0000-0D00-000005000000}">
      <formula1>$AQ$2:$AQ$7</formula1>
    </dataValidation>
    <dataValidation type="list" allowBlank="1" showInputMessage="1" showErrorMessage="1" sqref="C18 C20" xr:uid="{00000000-0002-0000-0D00-000006000000}">
      <formula1>$AQ$2:$AQ$6</formula1>
    </dataValidation>
  </dataValidations>
  <hyperlinks>
    <hyperlink ref="AM1" location="Содержание!R1C1" display="← СОДЕРЖАНИЕ: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2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Содержание</vt:lpstr>
      <vt:lpstr>HF top</vt:lpstr>
      <vt:lpstr>HS top</vt:lpstr>
      <vt:lpstr>HL top</vt:lpstr>
      <vt:lpstr>HK top</vt:lpstr>
      <vt:lpstr>HK-S</vt:lpstr>
      <vt:lpstr>HK-XS</vt:lpstr>
      <vt:lpstr>TIP-ON BLUMOTION LEGRABOX</vt:lpstr>
      <vt:lpstr>TIP-ON BUMOTION MOVENTO</vt:lpstr>
      <vt:lpstr>TIP-ON BLUMOTION TANDEMBOX</vt:lpstr>
      <vt:lpstr>TANDEMBOX боковые вставки</vt:lpstr>
      <vt:lpstr>Раскрой дна и з.с для TANDEMBOX</vt:lpstr>
      <vt:lpstr>Раскрой дна и з.с. для LEGRABOX</vt:lpstr>
      <vt:lpstr>Раскрой валов синхронизации</vt:lpstr>
      <vt:lpstr>'TIP-ON BLUMOTION TANDEMBOX'!внутр</vt:lpstr>
      <vt:lpstr>внутр</vt:lpstr>
      <vt:lpstr>'Раскрой валов синхронизации'!Область_печати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Лобан Денис</cp:lastModifiedBy>
  <cp:lastPrinted>2015-12-23T10:23:05Z</cp:lastPrinted>
  <dcterms:created xsi:type="dcterms:W3CDTF">1996-10-08T23:32:33Z</dcterms:created>
  <dcterms:modified xsi:type="dcterms:W3CDTF">2024-06-25T08:44:23Z</dcterms:modified>
</cp:coreProperties>
</file>